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280" activeTab="1"/>
  </bookViews>
  <sheets>
    <sheet name="SF 424A Budget" sheetId="1" r:id="rId1"/>
    <sheet name="Bud-A&amp;B Pers Exp" sheetId="2" r:id="rId2"/>
    <sheet name="Bud C Trav Exp" sheetId="3" r:id="rId3"/>
    <sheet name="Bud D - H Other Exp" sheetId="4" r:id="rId4"/>
    <sheet name="Bud In-Kind" sheetId="5" r:id="rId5"/>
    <sheet name="Bud Indir Exp " sheetId="6" r:id="rId6"/>
    <sheet name="Prog Inc Est" sheetId="7" r:id="rId7"/>
  </sheets>
  <definedNames>
    <definedName name="_xlnm.Print_Area" localSheetId="0">'SF 424A Budget'!$A$1:$J$269</definedName>
  </definedNames>
  <calcPr fullCalcOnLoad="1"/>
</workbook>
</file>

<file path=xl/sharedStrings.xml><?xml version="1.0" encoding="utf-8"?>
<sst xmlns="http://schemas.openxmlformats.org/spreadsheetml/2006/main" count="849" uniqueCount="358">
  <si>
    <t>Position</t>
  </si>
  <si>
    <t>If % SBDC &lt;100, other dedicated effort</t>
  </si>
  <si>
    <t>Part-time Benefts %</t>
  </si>
  <si>
    <t>Full-time Benefits %</t>
  </si>
  <si>
    <t>Directors Meeting Days</t>
  </si>
  <si>
    <t>Full-time</t>
  </si>
  <si>
    <t>Part-time</t>
  </si>
  <si>
    <t>Director</t>
  </si>
  <si>
    <t>Asst Director</t>
  </si>
  <si>
    <t>Counselor</t>
  </si>
  <si>
    <t>Trainer</t>
  </si>
  <si>
    <t>Admin</t>
  </si>
  <si>
    <t>Other</t>
  </si>
  <si>
    <t>Monthly Salary/ Wage</t>
  </si>
  <si>
    <t>Adjunct Instructor</t>
  </si>
  <si>
    <t>Part-time Hrs/Wk or Adjunct Training Hrs/Yr</t>
  </si>
  <si>
    <t>Full/Part Time (Benefits Basis)</t>
  </si>
  <si>
    <t>Monthly or Hourly Pay Rate</t>
  </si>
  <si>
    <t>Sick &amp; Vacation Hours/Yr</t>
  </si>
  <si>
    <t>Adjunct Test</t>
  </si>
  <si>
    <t>Student</t>
  </si>
  <si>
    <t>Name or Position Description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</si>
  <si>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</si>
  <si>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</si>
  <si>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</si>
  <si>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</si>
  <si>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</si>
  <si>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</si>
  <si>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</si>
  <si>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</si>
  <si>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</si>
  <si>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</si>
  <si>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</si>
  <si>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</si>
  <si>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x</t>
  </si>
  <si>
    <t>Q1</t>
  </si>
  <si>
    <t>Q2</t>
  </si>
  <si>
    <t>Q3</t>
  </si>
  <si>
    <t>Q4</t>
  </si>
  <si>
    <t>Mo's</t>
  </si>
  <si>
    <t>SBDC Time %</t>
  </si>
  <si>
    <t>Benefits Expense Q1</t>
  </si>
  <si>
    <t>Benefits Expense Q2</t>
  </si>
  <si>
    <t>Benefits Expense Q3</t>
  </si>
  <si>
    <t>Benefits Expense Q4</t>
  </si>
  <si>
    <t>Benefits Expense Total</t>
  </si>
  <si>
    <t>Salary &amp; Wage Exp Q1</t>
  </si>
  <si>
    <t>Salary &amp; Wage Exp Q2</t>
  </si>
  <si>
    <t>Salary &amp; Wage Exp Q3</t>
  </si>
  <si>
    <t>Salary &amp; Wage Exp Q4</t>
  </si>
  <si>
    <t>Salary &amp; Wage Exp Total</t>
  </si>
  <si>
    <t>Annual SBDC Paid Hours</t>
  </si>
  <si>
    <t>Sick &amp; Vac Hours /FTE</t>
  </si>
  <si>
    <t>Directors Meetings</t>
  </si>
  <si>
    <t>Productivity %</t>
  </si>
  <si>
    <t xml:space="preserve">Counseling Hours </t>
  </si>
  <si>
    <t>Average Sick Hours</t>
  </si>
  <si>
    <t>Average Vacation Hours</t>
  </si>
  <si>
    <t>Benefit Rates &amp; Hours Assumptions:</t>
  </si>
  <si>
    <t>Test</t>
  </si>
  <si>
    <t>Travel:</t>
  </si>
  <si>
    <t>Traveler Name</t>
  </si>
  <si>
    <t>Destination</t>
  </si>
  <si>
    <t># of Days</t>
  </si>
  <si>
    <t>Lodging $ incl tax</t>
  </si>
  <si>
    <t>Mileage Expense</t>
  </si>
  <si>
    <t>Airfare Expense</t>
  </si>
  <si>
    <t>Meals</t>
  </si>
  <si>
    <t>Other Expense Description</t>
  </si>
  <si>
    <t>Winter directors meeting</t>
  </si>
  <si>
    <t>St George</t>
  </si>
  <si>
    <t>Washington DC</t>
  </si>
  <si>
    <t>Total</t>
  </si>
  <si>
    <t>Payroll Hours</t>
  </si>
  <si>
    <t>Counseling Hours</t>
  </si>
  <si>
    <t>Other Travel Expense</t>
  </si>
  <si>
    <t>Applicant Name:</t>
  </si>
  <si>
    <t>Award Number:</t>
  </si>
  <si>
    <t>8-603001-Z-0050-13</t>
  </si>
  <si>
    <t>Budget Information - Non Construction Programs</t>
  </si>
  <si>
    <t>OMB Approval No. 0348-0044</t>
  </si>
  <si>
    <t>Section A - Budget Summary</t>
  </si>
  <si>
    <t>Grant Program Function or Activity</t>
  </si>
  <si>
    <t>Catalog of Federal Domestic Assistance Number</t>
  </si>
  <si>
    <t>Estimated Unobligated Funds</t>
  </si>
  <si>
    <t>New or Revised Budget</t>
  </si>
  <si>
    <t xml:space="preserve">Federal </t>
  </si>
  <si>
    <t xml:space="preserve">Non-Federal </t>
  </si>
  <si>
    <t>Federal</t>
  </si>
  <si>
    <t>Non-Federal</t>
  </si>
  <si>
    <t>(a)</t>
  </si>
  <si>
    <t>(b)</t>
  </si>
  <si>
    <t>(c )</t>
  </si>
  <si>
    <t>(d)</t>
  </si>
  <si>
    <t>(e)</t>
  </si>
  <si>
    <t>(f)</t>
  </si>
  <si>
    <t>(g)</t>
  </si>
  <si>
    <t>1.</t>
  </si>
  <si>
    <t>SBDC - 2009 - 02</t>
  </si>
  <si>
    <t>59-037</t>
  </si>
  <si>
    <t>2.</t>
  </si>
  <si>
    <t>3.</t>
  </si>
  <si>
    <t>4.</t>
  </si>
  <si>
    <t>5.</t>
  </si>
  <si>
    <t>Totals</t>
  </si>
  <si>
    <t>Section B - Budget Categories</t>
  </si>
  <si>
    <t>6.</t>
  </si>
  <si>
    <t>Object Class Categories</t>
  </si>
  <si>
    <t>Grant Program, Function or Activity</t>
  </si>
  <si>
    <t>Total (5)</t>
  </si>
  <si>
    <t>(1) SBA Funds</t>
  </si>
  <si>
    <t>(2) Cash Match</t>
  </si>
  <si>
    <t>(3) Inkind Match</t>
  </si>
  <si>
    <t>(4) Indirect Match</t>
  </si>
  <si>
    <t>a.  Personnel</t>
  </si>
  <si>
    <t>b.  Fringe Benefits</t>
  </si>
  <si>
    <t>c.  Travel</t>
  </si>
  <si>
    <t>d.  Equipment</t>
  </si>
  <si>
    <t>e.  Supplies</t>
  </si>
  <si>
    <t>f.  Contractual</t>
  </si>
  <si>
    <t>h.  Other</t>
  </si>
  <si>
    <t>i.  Total Direct Charges (sum of 6a-6h)</t>
  </si>
  <si>
    <t>j.  Indirect Charges</t>
  </si>
  <si>
    <r>
      <t xml:space="preserve">k.  </t>
    </r>
    <r>
      <rPr>
        <b/>
        <sz val="9"/>
        <rFont val="Arial Narrow"/>
        <family val="2"/>
      </rPr>
      <t>Totals</t>
    </r>
    <r>
      <rPr>
        <sz val="9"/>
        <rFont val="Arial Narrow"/>
        <family val="2"/>
      </rPr>
      <t xml:space="preserve"> (sum of 6i-6j)</t>
    </r>
  </si>
  <si>
    <t>7.</t>
  </si>
  <si>
    <t>Program Income</t>
  </si>
  <si>
    <r>
      <t>SF-424A</t>
    </r>
    <r>
      <rPr>
        <sz val="9"/>
        <rFont val="Arial Narrow"/>
        <family val="2"/>
      </rPr>
      <t xml:space="preserve"> (Rev. 4-92) </t>
    </r>
  </si>
  <si>
    <t>Previous Edition Usable</t>
  </si>
  <si>
    <t>Prescribed by OMB Circular A-102</t>
  </si>
  <si>
    <t>Authorized for Local Reproduction</t>
  </si>
  <si>
    <t>Section C - Non-Federal Resources</t>
  </si>
  <si>
    <t>(a) Grant Program</t>
  </si>
  <si>
    <t>(b) Applicant</t>
  </si>
  <si>
    <t>(c ) State</t>
  </si>
  <si>
    <t>(d) Other Sources</t>
  </si>
  <si>
    <r>
      <t xml:space="preserve">(e) </t>
    </r>
    <r>
      <rPr>
        <b/>
        <sz val="9"/>
        <rFont val="Arial Narrow"/>
        <family val="2"/>
      </rPr>
      <t>Totals</t>
    </r>
  </si>
  <si>
    <t>8.</t>
  </si>
  <si>
    <t>SBDC</t>
  </si>
  <si>
    <t>9.</t>
  </si>
  <si>
    <t>10.</t>
  </si>
  <si>
    <t>11.</t>
  </si>
  <si>
    <t>12.</t>
  </si>
  <si>
    <r>
      <t>Total</t>
    </r>
    <r>
      <rPr>
        <sz val="9"/>
        <rFont val="Arial Narrow"/>
        <family val="2"/>
      </rPr>
      <t xml:space="preserve"> (sum of lines 8 - 11)</t>
    </r>
  </si>
  <si>
    <t>Section D - Forecasted Cash Needs</t>
  </si>
  <si>
    <t>Total for 1st Year</t>
  </si>
  <si>
    <t>1st Quarter</t>
  </si>
  <si>
    <t>2nd Quarter</t>
  </si>
  <si>
    <t>3rd Quarter</t>
  </si>
  <si>
    <t>4th quarter</t>
  </si>
  <si>
    <t>13.</t>
  </si>
  <si>
    <t>14.</t>
  </si>
  <si>
    <t>15.</t>
  </si>
  <si>
    <r>
      <t>Total</t>
    </r>
    <r>
      <rPr>
        <sz val="9"/>
        <rFont val="Arial Narrow"/>
        <family val="2"/>
      </rPr>
      <t xml:space="preserve"> (sum of lines 13 and 14)</t>
    </r>
  </si>
  <si>
    <t>Section E - Budget Estimates of Federal Funds Needed for Balance of the Project</t>
  </si>
  <si>
    <t>Future Funding Periods (Years)</t>
  </si>
  <si>
    <t>(b) First</t>
  </si>
  <si>
    <t>(c ) Second</t>
  </si>
  <si>
    <t>(d) Third</t>
  </si>
  <si>
    <t>(e) Fourth</t>
  </si>
  <si>
    <t>16.</t>
  </si>
  <si>
    <t>17.</t>
  </si>
  <si>
    <t>18.</t>
  </si>
  <si>
    <t>19.</t>
  </si>
  <si>
    <t>20.</t>
  </si>
  <si>
    <r>
      <t>Total</t>
    </r>
    <r>
      <rPr>
        <sz val="9"/>
        <rFont val="Arial Narrow"/>
        <family val="2"/>
      </rPr>
      <t xml:space="preserve"> (sum of lines 16-19)</t>
    </r>
  </si>
  <si>
    <t>Section F - Other Budget Information</t>
  </si>
  <si>
    <t>21. Direct Charges</t>
  </si>
  <si>
    <t>22. Indirect Charges</t>
  </si>
  <si>
    <t>23.  Remarks</t>
  </si>
  <si>
    <t xml:space="preserve">              </t>
  </si>
  <si>
    <t>Annual Personnel Expense</t>
  </si>
  <si>
    <t>Annual Fringe Benefits Expense</t>
  </si>
  <si>
    <t>Personnel</t>
  </si>
  <si>
    <t>Bennefits</t>
  </si>
  <si>
    <t xml:space="preserve">      Test</t>
  </si>
  <si>
    <t xml:space="preserve">   Total</t>
  </si>
  <si>
    <t>Annual ASBDC Conference</t>
  </si>
  <si>
    <t>Travel Total Expense</t>
  </si>
  <si>
    <t>Qtr</t>
  </si>
  <si>
    <t>Meeting Description</t>
  </si>
  <si>
    <t xml:space="preserve">Total </t>
  </si>
  <si>
    <t>Equipment</t>
  </si>
  <si>
    <t>Supplies</t>
  </si>
  <si>
    <t>g.  Construction</t>
  </si>
  <si>
    <t>Construction</t>
  </si>
  <si>
    <t>All</t>
  </si>
  <si>
    <r>
      <t>SF-424A</t>
    </r>
    <r>
      <rPr>
        <sz val="8"/>
        <rFont val="Arial Narrow"/>
        <family val="2"/>
      </rPr>
      <t xml:space="preserve"> (Rev. 4-92) </t>
    </r>
  </si>
  <si>
    <t>q1</t>
  </si>
  <si>
    <t>q2</t>
  </si>
  <si>
    <t>q3</t>
  </si>
  <si>
    <t>q4</t>
  </si>
  <si>
    <t>test</t>
  </si>
  <si>
    <t>Copier</t>
  </si>
  <si>
    <t>Postage</t>
  </si>
  <si>
    <t>Annual Budget Total</t>
  </si>
  <si>
    <t xml:space="preserve">      Total</t>
  </si>
  <si>
    <t>D.  Equipment</t>
  </si>
  <si>
    <t>E.  Supplies</t>
  </si>
  <si>
    <t>F.  Contractual</t>
  </si>
  <si>
    <t>G.  Construction (Do not Budget Here!)</t>
  </si>
  <si>
    <t>H.  Other</t>
  </si>
  <si>
    <t>Qtr (1, 2, 3, 4 or All)</t>
  </si>
  <si>
    <t>f.  Construction</t>
  </si>
  <si>
    <t>g.  Contractual</t>
  </si>
  <si>
    <t>Purchase Description (including units, price, and other detailed assumptions)</t>
  </si>
  <si>
    <t>Description (including units, price, and other detailed assumptions)</t>
  </si>
  <si>
    <t>All less Equip.</t>
  </si>
  <si>
    <t>Salary &amp; Benefits</t>
  </si>
  <si>
    <t xml:space="preserve">    Total</t>
  </si>
  <si>
    <t>1st Half</t>
  </si>
  <si>
    <t>Indirect Waived</t>
  </si>
  <si>
    <t>Benefits</t>
  </si>
  <si>
    <t>Travel</t>
  </si>
  <si>
    <t>Indirect Reimbursed</t>
  </si>
  <si>
    <t>Rate</t>
  </si>
  <si>
    <t>Total Indirect</t>
  </si>
  <si>
    <t>Basis</t>
  </si>
  <si>
    <t xml:space="preserve">Contractual </t>
  </si>
  <si>
    <t>2nd Half</t>
  </si>
  <si>
    <t>Base $'s</t>
  </si>
  <si>
    <t>Indirect Expense Computations:</t>
  </si>
  <si>
    <t>J.  Indirect Charges</t>
  </si>
  <si>
    <t>888 Income</t>
  </si>
  <si>
    <t>Donations</t>
  </si>
  <si>
    <t xml:space="preserve">Other </t>
  </si>
  <si>
    <t xml:space="preserve">   BizSmart</t>
  </si>
  <si>
    <t xml:space="preserve">   FastTrac - New Venture (English/Spanish)</t>
  </si>
  <si>
    <t xml:space="preserve">   FastTrac - Growth Venture (English/Spanish)</t>
  </si>
  <si>
    <t xml:space="preserve">   FastTrac - Tech Venture</t>
  </si>
  <si>
    <t xml:space="preserve">   FastTrac - Manufacturing</t>
  </si>
  <si>
    <t>Other multi-session classes:</t>
  </si>
  <si>
    <t xml:space="preserve">   Adv Training: Del of Medical Coding Services</t>
  </si>
  <si>
    <t xml:space="preserve">   Virtual Business Development</t>
  </si>
  <si>
    <t xml:space="preserve">   Other IT related classes</t>
  </si>
  <si>
    <t xml:space="preserve">   Quickbooks</t>
  </si>
  <si>
    <t xml:space="preserve">   Till the Soil of Opportunity</t>
  </si>
  <si>
    <t xml:space="preserve">   Business plans Made Easy</t>
  </si>
  <si>
    <t xml:space="preserve">   Patents In Commerce</t>
  </si>
  <si>
    <t xml:space="preserve">   Job costing/bidding</t>
  </si>
  <si>
    <t xml:space="preserve">   Market Research/Planning</t>
  </si>
  <si>
    <t xml:space="preserve">   Financial Forecasting</t>
  </si>
  <si>
    <t xml:space="preserve">   Business Plan Basics/Creation</t>
  </si>
  <si>
    <t xml:space="preserve">   Business Basics</t>
  </si>
  <si>
    <t>Single session training classes &amp; conferences:</t>
  </si>
  <si>
    <t xml:space="preserve">   StartSmart</t>
  </si>
  <si>
    <t xml:space="preserve">   MarketSmart</t>
  </si>
  <si>
    <t xml:space="preserve">   MoneySmart</t>
  </si>
  <si>
    <t xml:space="preserve">   PlanSmart</t>
  </si>
  <si>
    <t xml:space="preserve">   Regional Conferences</t>
  </si>
  <si>
    <t xml:space="preserve">   Dashboard X-Ray</t>
  </si>
  <si>
    <t xml:space="preserve">   Dashboard Startup</t>
  </si>
  <si>
    <t>Other single session classes:</t>
  </si>
  <si>
    <t xml:space="preserve">   Quickbooks Basics</t>
  </si>
  <si>
    <t xml:space="preserve">   QuickBooks Intermediate</t>
  </si>
  <si>
    <t xml:space="preserve">   Customer Service</t>
  </si>
  <si>
    <t xml:space="preserve">   Business Plans</t>
  </si>
  <si>
    <t xml:space="preserve">   Sources of financing</t>
  </si>
  <si>
    <t xml:space="preserve">   Management  (people)</t>
  </si>
  <si>
    <t xml:space="preserve">   Marketing</t>
  </si>
  <si>
    <t xml:space="preserve">   Legal Issues</t>
  </si>
  <si>
    <t xml:space="preserve">   Sales &amp; Use Tax Workshop</t>
  </si>
  <si>
    <t xml:space="preserve">   LDS Employment</t>
  </si>
  <si>
    <t xml:space="preserve">   Exporting Basics</t>
  </si>
  <si>
    <t xml:space="preserve">   E-Commerce Forum</t>
  </si>
  <si>
    <t xml:space="preserve">   Millard County Business Conference</t>
  </si>
  <si>
    <t xml:space="preserve">   Sanpete Business Symposium - Session 1</t>
  </si>
  <si>
    <t xml:space="preserve">   Sanpete Business Symposium - Session 2</t>
  </si>
  <si>
    <t xml:space="preserve">   Central Utah Economic Development Summit</t>
  </si>
  <si>
    <t xml:space="preserve">   CEO Club</t>
  </si>
  <si>
    <t xml:space="preserve">   Employee taxes</t>
  </si>
  <si>
    <t xml:space="preserve">   Industry Specific (i.e. EWS and SUHBA)</t>
  </si>
  <si>
    <t xml:space="preserve">   Entrepreneurial Prospects</t>
  </si>
  <si>
    <t xml:space="preserve">   Managerial Accounting - Ratios</t>
  </si>
  <si>
    <t xml:space="preserve">   Capital Acquisition Conference</t>
  </si>
  <si>
    <t xml:space="preserve">   Best Business Idea Competition Training</t>
  </si>
  <si>
    <t xml:space="preserve">   Selling to the Government</t>
  </si>
  <si>
    <t xml:space="preserve">   Financial - What are the numbers telling you?</t>
  </si>
  <si>
    <t xml:space="preserve">   Small Business Taxes</t>
  </si>
  <si>
    <t xml:space="preserve">   How to get a bank loan</t>
  </si>
  <si>
    <t xml:space="preserve">   HR Issues</t>
  </si>
  <si>
    <t xml:space="preserve">   Record Security</t>
  </si>
  <si>
    <t>Total Classes</t>
  </si>
  <si>
    <t>Program Income Estimate/Class schedule:</t>
  </si>
  <si>
    <t>Statewide Offerings:</t>
  </si>
  <si>
    <t xml:space="preserve">   360 Survey</t>
  </si>
  <si>
    <t xml:space="preserve">   7-Habits</t>
  </si>
  <si>
    <t xml:space="preserve">   FastTrac - First Step</t>
  </si>
  <si>
    <t xml:space="preserve">   FastTrac - Developing your child care business</t>
  </si>
  <si>
    <t>Other Classes:</t>
  </si>
  <si>
    <t xml:space="preserve">     Total</t>
  </si>
  <si>
    <t>Class Sessions</t>
  </si>
  <si>
    <t>Ave Students/ Class</t>
  </si>
  <si>
    <t>Specialty Products:</t>
  </si>
  <si>
    <t>Donations (please list donee):</t>
  </si>
  <si>
    <t>Price/Fee Each</t>
  </si>
  <si>
    <t>Books/ Materials Sales</t>
  </si>
  <si>
    <t>parking</t>
  </si>
  <si>
    <t>Miscellaneous Travel</t>
  </si>
  <si>
    <t>Utah</t>
  </si>
  <si>
    <t>Desktop Computer</t>
  </si>
  <si>
    <t>Printer</t>
  </si>
  <si>
    <t>Cell Phone</t>
  </si>
  <si>
    <t>Landline Phones</t>
  </si>
  <si>
    <t>Office Supplies</t>
  </si>
  <si>
    <t>Subscriptions and Books</t>
  </si>
  <si>
    <t>Ads/Marketing</t>
  </si>
  <si>
    <t>Miscellaneous</t>
  </si>
  <si>
    <t>Counselor/Trainer</t>
  </si>
  <si>
    <t>College Cash</t>
  </si>
  <si>
    <t>GOED</t>
  </si>
  <si>
    <t>(d1)</t>
  </si>
  <si>
    <t>(d2)</t>
  </si>
  <si>
    <t>(2a) GOED</t>
  </si>
  <si>
    <t>(2b) College Cash</t>
  </si>
  <si>
    <t>Local</t>
  </si>
  <si>
    <t>Fed %</t>
  </si>
  <si>
    <t>GOED %</t>
  </si>
  <si>
    <t>Local %</t>
  </si>
  <si>
    <t>PI Exp %</t>
  </si>
  <si>
    <t>Prog Inc</t>
  </si>
  <si>
    <t xml:space="preserve">Federal Total </t>
  </si>
  <si>
    <t xml:space="preserve">GOED Total </t>
  </si>
  <si>
    <t>Local Total</t>
  </si>
  <si>
    <t>Prog Inc Total</t>
  </si>
  <si>
    <t>Federal Total</t>
  </si>
  <si>
    <t>None</t>
  </si>
  <si>
    <t>GOED Total</t>
  </si>
  <si>
    <t>Prog Inc Exp %</t>
  </si>
  <si>
    <t>Budget Justification Narrative:</t>
  </si>
  <si>
    <t>Name</t>
  </si>
  <si>
    <t>Total Salary</t>
  </si>
  <si>
    <t>PI</t>
  </si>
  <si>
    <t>FT/PT</t>
  </si>
  <si>
    <t>Total Benefits</t>
  </si>
  <si>
    <t>FT Ben Rate:</t>
  </si>
  <si>
    <t>PT Ben Rate:</t>
  </si>
  <si>
    <t>In-kind</t>
  </si>
  <si>
    <t>Description</t>
  </si>
  <si>
    <t>Total Travel</t>
  </si>
  <si>
    <t xml:space="preserve">           Category Total</t>
  </si>
  <si>
    <t>Total Equipment</t>
  </si>
  <si>
    <t>A. Personnel:</t>
  </si>
  <si>
    <t>B. Benefits:</t>
  </si>
  <si>
    <t>C. Travel:</t>
  </si>
  <si>
    <t>D. Equipment</t>
  </si>
  <si>
    <t xml:space="preserve">           Adjusted Total</t>
  </si>
  <si>
    <t>Less Planned Program Income Expense</t>
  </si>
  <si>
    <t>Test Budget</t>
  </si>
  <si>
    <t>Indirect Rate Computations:</t>
  </si>
  <si>
    <t>Expenses:</t>
  </si>
  <si>
    <t>Cash Match %</t>
  </si>
  <si>
    <t>Cash Match</t>
  </si>
  <si>
    <t>Personnel Input:</t>
  </si>
  <si>
    <t>Test 1</t>
  </si>
  <si>
    <t>Test 2</t>
  </si>
  <si>
    <t>Test 3</t>
  </si>
  <si>
    <t>Test 5</t>
  </si>
  <si>
    <t>Test 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</si>
</sst>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"/>
    <numFmt numFmtId="167" formatCode="_(* #,##0.000_);_(* \(#,##0.000\);_(* &quot;-&quot;??_);_(@_)"/>
    <numFmt numFmtId="168" formatCode="&quot;$&quot;#,##0.00"/>
  </numFmts>
  <fonts count="82">
    <font>
      <sz val="12"/>
      <color theme="1"/>
      <name val="Candara"/>
      <family val="2"/>
    </font>
    <font>
      <sz val="12"/>
      <color indexed="8"/>
      <name val="Candara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8"/>
      <name val="Courier"/>
      <family val="3"/>
    </font>
    <font>
      <b/>
      <sz val="9"/>
      <name val="Arial Narrow"/>
      <family val="2"/>
    </font>
    <font>
      <sz val="7"/>
      <name val="Courier"/>
      <family val="3"/>
    </font>
    <font>
      <sz val="7"/>
      <name val="Arial Narrow"/>
      <family val="2"/>
    </font>
    <font>
      <sz val="7"/>
      <name val="Arial"/>
      <family val="2"/>
    </font>
    <font>
      <sz val="12"/>
      <name val="Candara"/>
      <family val="2"/>
    </font>
    <font>
      <b/>
      <sz val="10"/>
      <color indexed="8"/>
      <name val="Candara"/>
      <family val="2"/>
    </font>
    <font>
      <b/>
      <sz val="8"/>
      <name val="Arial Narrow"/>
      <family val="2"/>
    </font>
    <font>
      <b/>
      <sz val="12"/>
      <name val="Candara"/>
      <family val="2"/>
    </font>
    <font>
      <b/>
      <sz val="14"/>
      <name val="Candara"/>
      <family val="2"/>
    </font>
    <font>
      <b/>
      <sz val="12"/>
      <name val="Arial Narrow"/>
      <family val="2"/>
    </font>
    <font>
      <sz val="10"/>
      <color indexed="8"/>
      <name val="Candara"/>
      <family val="2"/>
    </font>
    <font>
      <b/>
      <sz val="10"/>
      <color indexed="9"/>
      <name val="Candara"/>
      <family val="2"/>
    </font>
    <font>
      <sz val="12"/>
      <color indexed="9"/>
      <name val="Candara"/>
      <family val="2"/>
    </font>
    <font>
      <sz val="12"/>
      <color indexed="20"/>
      <name val="Candara"/>
      <family val="2"/>
    </font>
    <font>
      <b/>
      <sz val="12"/>
      <color indexed="52"/>
      <name val="Candara"/>
      <family val="2"/>
    </font>
    <font>
      <b/>
      <sz val="12"/>
      <color indexed="9"/>
      <name val="Candara"/>
      <family val="2"/>
    </font>
    <font>
      <i/>
      <sz val="12"/>
      <color indexed="23"/>
      <name val="Candara"/>
      <family val="2"/>
    </font>
    <font>
      <sz val="12"/>
      <color indexed="17"/>
      <name val="Candara"/>
      <family val="2"/>
    </font>
    <font>
      <b/>
      <sz val="15"/>
      <color indexed="56"/>
      <name val="Candara"/>
      <family val="2"/>
    </font>
    <font>
      <b/>
      <sz val="13"/>
      <color indexed="56"/>
      <name val="Candara"/>
      <family val="2"/>
    </font>
    <font>
      <b/>
      <sz val="11"/>
      <color indexed="56"/>
      <name val="Candara"/>
      <family val="2"/>
    </font>
    <font>
      <sz val="12"/>
      <color indexed="62"/>
      <name val="Candara"/>
      <family val="2"/>
    </font>
    <font>
      <sz val="12"/>
      <color indexed="52"/>
      <name val="Candara"/>
      <family val="2"/>
    </font>
    <font>
      <sz val="12"/>
      <color indexed="60"/>
      <name val="Candara"/>
      <family val="2"/>
    </font>
    <font>
      <b/>
      <sz val="12"/>
      <color indexed="63"/>
      <name val="Candara"/>
      <family val="2"/>
    </font>
    <font>
      <b/>
      <sz val="18"/>
      <color indexed="56"/>
      <name val="Cambria"/>
      <family val="2"/>
    </font>
    <font>
      <b/>
      <sz val="12"/>
      <color indexed="8"/>
      <name val="Candara"/>
      <family val="2"/>
    </font>
    <font>
      <sz val="12"/>
      <color indexed="10"/>
      <name val="Candara"/>
      <family val="2"/>
    </font>
    <font>
      <b/>
      <sz val="10"/>
      <color indexed="10"/>
      <name val="Candara"/>
      <family val="2"/>
    </font>
    <font>
      <b/>
      <sz val="16"/>
      <color indexed="8"/>
      <name val="Candara"/>
      <family val="2"/>
    </font>
    <font>
      <b/>
      <sz val="14"/>
      <color indexed="8"/>
      <name val="Candara"/>
      <family val="2"/>
    </font>
    <font>
      <sz val="14"/>
      <color indexed="8"/>
      <name val="Candara"/>
      <family val="2"/>
    </font>
    <font>
      <b/>
      <sz val="8"/>
      <color indexed="8"/>
      <name val="Candara"/>
      <family val="2"/>
    </font>
    <font>
      <sz val="8"/>
      <color indexed="8"/>
      <name val="Candara"/>
      <family val="2"/>
    </font>
    <font>
      <b/>
      <sz val="12"/>
      <color indexed="10"/>
      <name val="Candara"/>
      <family val="2"/>
    </font>
    <font>
      <b/>
      <sz val="9"/>
      <color indexed="10"/>
      <name val="Arial Narrow"/>
      <family val="2"/>
    </font>
    <font>
      <sz val="11"/>
      <color indexed="8"/>
      <name val="Candara"/>
      <family val="2"/>
    </font>
    <font>
      <b/>
      <i/>
      <sz val="12"/>
      <color indexed="8"/>
      <name val="Candara"/>
      <family val="2"/>
    </font>
    <font>
      <b/>
      <i/>
      <u val="single"/>
      <sz val="12"/>
      <color indexed="8"/>
      <name val="Candara"/>
      <family val="2"/>
    </font>
    <font>
      <b/>
      <i/>
      <sz val="11"/>
      <color indexed="8"/>
      <name val="Candara"/>
      <family val="2"/>
    </font>
    <font>
      <sz val="11"/>
      <color indexed="10"/>
      <name val="Candara"/>
      <family val="2"/>
    </font>
    <font>
      <sz val="11.5"/>
      <color indexed="8"/>
      <name val="Candara"/>
      <family val="2"/>
    </font>
    <font>
      <sz val="12"/>
      <color theme="0"/>
      <name val="Candara"/>
      <family val="2"/>
    </font>
    <font>
      <sz val="12"/>
      <color rgb="FF9C0006"/>
      <name val="Candara"/>
      <family val="2"/>
    </font>
    <font>
      <b/>
      <sz val="12"/>
      <color rgb="FFFA7D00"/>
      <name val="Candara"/>
      <family val="2"/>
    </font>
    <font>
      <b/>
      <sz val="12"/>
      <color theme="0"/>
      <name val="Candara"/>
      <family val="2"/>
    </font>
    <font>
      <i/>
      <sz val="12"/>
      <color rgb="FF7F7F7F"/>
      <name val="Candara"/>
      <family val="2"/>
    </font>
    <font>
      <sz val="12"/>
      <color rgb="FF006100"/>
      <name val="Candara"/>
      <family val="2"/>
    </font>
    <font>
      <b/>
      <sz val="15"/>
      <color theme="3"/>
      <name val="Candara"/>
      <family val="2"/>
    </font>
    <font>
      <b/>
      <sz val="13"/>
      <color theme="3"/>
      <name val="Candara"/>
      <family val="2"/>
    </font>
    <font>
      <b/>
      <sz val="11"/>
      <color theme="3"/>
      <name val="Candara"/>
      <family val="2"/>
    </font>
    <font>
      <sz val="12"/>
      <color rgb="FF3F3F76"/>
      <name val="Candara"/>
      <family val="2"/>
    </font>
    <font>
      <sz val="12"/>
      <color rgb="FFFA7D00"/>
      <name val="Candara"/>
      <family val="2"/>
    </font>
    <font>
      <sz val="12"/>
      <color rgb="FF9C6500"/>
      <name val="Candara"/>
      <family val="2"/>
    </font>
    <font>
      <b/>
      <sz val="12"/>
      <color rgb="FF3F3F3F"/>
      <name val="Candara"/>
      <family val="2"/>
    </font>
    <font>
      <b/>
      <sz val="18"/>
      <color theme="3"/>
      <name val="Cambria"/>
      <family val="2"/>
    </font>
    <font>
      <b/>
      <sz val="12"/>
      <color theme="1"/>
      <name val="Candara"/>
      <family val="2"/>
    </font>
    <font>
      <sz val="12"/>
      <color rgb="FFFF0000"/>
      <name val="Candara"/>
      <family val="2"/>
    </font>
    <font>
      <b/>
      <sz val="10"/>
      <color rgb="FFFF0000"/>
      <name val="Candara"/>
      <family val="2"/>
    </font>
    <font>
      <b/>
      <sz val="16"/>
      <color theme="1"/>
      <name val="Candara"/>
      <family val="2"/>
    </font>
    <font>
      <b/>
      <sz val="14"/>
      <color theme="1"/>
      <name val="Candara"/>
      <family val="2"/>
    </font>
    <font>
      <sz val="14"/>
      <color theme="1"/>
      <name val="Candara"/>
      <family val="2"/>
    </font>
    <font>
      <sz val="10"/>
      <color theme="1"/>
      <name val="Candara"/>
      <family val="2"/>
    </font>
    <font>
      <b/>
      <sz val="8"/>
      <color theme="1"/>
      <name val="Candara"/>
      <family val="2"/>
    </font>
    <font>
      <sz val="8"/>
      <color theme="1"/>
      <name val="Candara"/>
      <family val="2"/>
    </font>
    <font>
      <b/>
      <sz val="12"/>
      <color rgb="FFFF0000"/>
      <name val="Candara"/>
      <family val="2"/>
    </font>
    <font>
      <b/>
      <sz val="9"/>
      <color rgb="FFFF0000"/>
      <name val="Arial Narrow"/>
      <family val="2"/>
    </font>
    <font>
      <sz val="11"/>
      <color theme="1"/>
      <name val="Candara"/>
      <family val="2"/>
    </font>
    <font>
      <b/>
      <i/>
      <sz val="12"/>
      <color theme="1"/>
      <name val="Candara"/>
      <family val="2"/>
    </font>
    <font>
      <b/>
      <i/>
      <u val="single"/>
      <sz val="12"/>
      <color theme="1"/>
      <name val="Candara"/>
      <family val="2"/>
    </font>
    <font>
      <b/>
      <i/>
      <sz val="11"/>
      <color theme="1"/>
      <name val="Candara"/>
      <family val="2"/>
    </font>
    <font>
      <sz val="11"/>
      <color rgb="FFFF0000"/>
      <name val="Candara"/>
      <family val="2"/>
    </font>
    <font>
      <sz val="11.5"/>
      <color theme="1"/>
      <name val="Candar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0" fontId="67" fillId="0" borderId="10" xfId="0" applyFont="1" applyBorder="1" applyAlignment="1">
      <alignment horizontal="center" vertical="center" textRotation="180" wrapText="1"/>
    </xf>
    <xf numFmtId="43" fontId="0" fillId="0" borderId="0" xfId="0" applyNumberFormat="1" applyAlignment="1">
      <alignment/>
    </xf>
    <xf numFmtId="0" fontId="0" fillId="7" borderId="12" xfId="0" applyFill="1" applyBorder="1" applyAlignment="1">
      <alignment/>
    </xf>
    <xf numFmtId="9" fontId="0" fillId="7" borderId="12" xfId="0" applyNumberFormat="1" applyFill="1" applyBorder="1" applyAlignment="1">
      <alignment/>
    </xf>
    <xf numFmtId="0" fontId="0" fillId="7" borderId="12" xfId="0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0" xfId="0" applyFill="1" applyBorder="1" applyAlignment="1">
      <alignment/>
    </xf>
    <xf numFmtId="9" fontId="0" fillId="7" borderId="0" xfId="0" applyNumberFormat="1" applyFill="1" applyBorder="1" applyAlignment="1">
      <alignment/>
    </xf>
    <xf numFmtId="0" fontId="0" fillId="7" borderId="14" xfId="0" applyFill="1" applyBorder="1" applyAlignment="1">
      <alignment horizontal="left"/>
    </xf>
    <xf numFmtId="0" fontId="0" fillId="7" borderId="15" xfId="0" applyFill="1" applyBorder="1" applyAlignment="1">
      <alignment/>
    </xf>
    <xf numFmtId="9" fontId="0" fillId="7" borderId="15" xfId="0" applyNumberFormat="1" applyFill="1" applyBorder="1" applyAlignment="1">
      <alignment/>
    </xf>
    <xf numFmtId="0" fontId="0" fillId="7" borderId="16" xfId="0" applyFill="1" applyBorder="1" applyAlignment="1">
      <alignment horizontal="left"/>
    </xf>
    <xf numFmtId="0" fontId="0" fillId="0" borderId="0" xfId="0" applyAlignment="1">
      <alignment/>
    </xf>
    <xf numFmtId="0" fontId="68" fillId="0" borderId="0" xfId="0" applyFont="1" applyAlignment="1">
      <alignment/>
    </xf>
    <xf numFmtId="0" fontId="0" fillId="0" borderId="17" xfId="0" applyBorder="1" applyAlignment="1">
      <alignment horizontal="center" wrapText="1"/>
    </xf>
    <xf numFmtId="165" fontId="0" fillId="0" borderId="0" xfId="42" applyNumberFormat="1" applyFont="1" applyAlignment="1">
      <alignment/>
    </xf>
    <xf numFmtId="0" fontId="0" fillId="0" borderId="0" xfId="0" applyAlignment="1">
      <alignment/>
    </xf>
    <xf numFmtId="0" fontId="2" fillId="0" borderId="0" xfId="65">
      <alignment/>
      <protection/>
    </xf>
    <xf numFmtId="0" fontId="2" fillId="0" borderId="0" xfId="65" applyAlignment="1">
      <alignment vertical="center"/>
      <protection/>
    </xf>
    <xf numFmtId="0" fontId="2" fillId="0" borderId="0" xfId="65" applyAlignment="1">
      <alignment/>
      <protection/>
    </xf>
    <xf numFmtId="0" fontId="4" fillId="0" borderId="0" xfId="65" applyFont="1" applyBorder="1" applyAlignment="1">
      <alignment vertical="center"/>
      <protection/>
    </xf>
    <xf numFmtId="0" fontId="4" fillId="0" borderId="18" xfId="65" applyFont="1" applyBorder="1" applyAlignment="1">
      <alignment horizontal="center" vertical="center"/>
      <protection/>
    </xf>
    <xf numFmtId="0" fontId="4" fillId="0" borderId="16" xfId="65" applyFont="1" applyBorder="1" applyAlignment="1">
      <alignment horizontal="center" vertical="center"/>
      <protection/>
    </xf>
    <xf numFmtId="0" fontId="4" fillId="0" borderId="0" xfId="65" applyFont="1" applyAlignment="1">
      <alignment horizontal="right" vertical="center"/>
      <protection/>
    </xf>
    <xf numFmtId="0" fontId="8" fillId="0" borderId="0" xfId="65" applyFont="1" applyAlignment="1">
      <alignment horizontal="left" vertical="center"/>
      <protection/>
    </xf>
    <xf numFmtId="49" fontId="4" fillId="0" borderId="0" xfId="65" applyNumberFormat="1" applyFont="1" applyBorder="1" applyAlignment="1">
      <alignment vertical="center"/>
      <protection/>
    </xf>
    <xf numFmtId="166" fontId="7" fillId="0" borderId="0" xfId="65" applyNumberFormat="1" applyFont="1" applyBorder="1" applyAlignment="1">
      <alignment horizontal="right" vertical="center"/>
      <protection/>
    </xf>
    <xf numFmtId="0" fontId="4" fillId="0" borderId="14" xfId="65" applyFont="1" applyBorder="1" applyAlignment="1">
      <alignment horizontal="center" vertical="top"/>
      <protection/>
    </xf>
    <xf numFmtId="0" fontId="4" fillId="0" borderId="18" xfId="65" applyFont="1" applyBorder="1" applyAlignment="1">
      <alignment horizontal="center" vertical="top"/>
      <protection/>
    </xf>
    <xf numFmtId="0" fontId="4" fillId="0" borderId="12" xfId="65" applyFont="1" applyBorder="1" applyAlignment="1">
      <alignment vertical="top"/>
      <protection/>
    </xf>
    <xf numFmtId="0" fontId="4" fillId="0" borderId="19" xfId="65" applyFont="1" applyBorder="1" applyAlignment="1">
      <alignment horizontal="center" vertical="center"/>
      <protection/>
    </xf>
    <xf numFmtId="0" fontId="4" fillId="0" borderId="20" xfId="65" applyFont="1" applyBorder="1" applyAlignment="1">
      <alignment vertical="top"/>
      <protection/>
    </xf>
    <xf numFmtId="166" fontId="4" fillId="0" borderId="19" xfId="65" applyNumberFormat="1" applyFont="1" applyBorder="1" applyAlignment="1">
      <alignment horizontal="right" vertical="center"/>
      <protection/>
    </xf>
    <xf numFmtId="166" fontId="4" fillId="0" borderId="10" xfId="65" applyNumberFormat="1" applyFont="1" applyBorder="1" applyAlignment="1">
      <alignment horizontal="right" vertical="center"/>
      <protection/>
    </xf>
    <xf numFmtId="166" fontId="4" fillId="0" borderId="21" xfId="65" applyNumberFormat="1" applyFont="1" applyBorder="1" applyAlignment="1">
      <alignment horizontal="right" vertical="center"/>
      <protection/>
    </xf>
    <xf numFmtId="166" fontId="4" fillId="0" borderId="10" xfId="65" applyNumberFormat="1" applyFont="1" applyBorder="1" applyAlignment="1" applyProtection="1">
      <alignment horizontal="right" vertical="center"/>
      <protection locked="0"/>
    </xf>
    <xf numFmtId="166" fontId="4" fillId="0" borderId="19" xfId="65" applyNumberFormat="1" applyFont="1" applyBorder="1" applyAlignment="1" applyProtection="1">
      <alignment horizontal="right" vertical="center"/>
      <protection locked="0"/>
    </xf>
    <xf numFmtId="49" fontId="4" fillId="0" borderId="19" xfId="65" applyNumberFormat="1" applyFont="1" applyBorder="1" applyAlignment="1" applyProtection="1">
      <alignment horizontal="left" vertical="center"/>
      <protection locked="0"/>
    </xf>
    <xf numFmtId="0" fontId="3" fillId="0" borderId="0" xfId="65" applyFont="1" applyBorder="1" applyAlignment="1" applyProtection="1">
      <alignment horizontal="right" vertical="center"/>
      <protection locked="0"/>
    </xf>
    <xf numFmtId="0" fontId="4" fillId="0" borderId="22" xfId="65" applyFont="1" applyBorder="1" applyAlignment="1" applyProtection="1">
      <alignment horizontal="left" vertical="center"/>
      <protection locked="0"/>
    </xf>
    <xf numFmtId="0" fontId="4" fillId="0" borderId="21" xfId="65" applyFont="1" applyBorder="1" applyAlignment="1">
      <alignment horizontal="center" vertical="top"/>
      <protection/>
    </xf>
    <xf numFmtId="166" fontId="4" fillId="0" borderId="0" xfId="65" applyNumberFormat="1" applyFont="1" applyAlignment="1">
      <alignment vertical="center"/>
      <protection/>
    </xf>
    <xf numFmtId="0" fontId="4" fillId="0" borderId="21" xfId="65" applyFont="1" applyBorder="1" applyAlignment="1">
      <alignment horizontal="center" vertical="center"/>
      <protection/>
    </xf>
    <xf numFmtId="0" fontId="4" fillId="0" borderId="10" xfId="65" applyFont="1" applyBorder="1" applyAlignment="1" applyProtection="1">
      <alignment horizontal="center" vertical="center"/>
      <protection locked="0"/>
    </xf>
    <xf numFmtId="0" fontId="4" fillId="0" borderId="16" xfId="65" applyFont="1" applyBorder="1" applyAlignment="1" applyProtection="1">
      <alignment horizontal="left" vertical="center"/>
      <protection locked="0"/>
    </xf>
    <xf numFmtId="0" fontId="4" fillId="0" borderId="21" xfId="65" applyFont="1" applyBorder="1" applyAlignment="1" applyProtection="1">
      <alignment horizontal="center" vertical="center"/>
      <protection locked="0"/>
    </xf>
    <xf numFmtId="166" fontId="4" fillId="0" borderId="21" xfId="65" applyNumberFormat="1" applyFont="1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center" wrapText="1"/>
    </xf>
    <xf numFmtId="165" fontId="0" fillId="0" borderId="0" xfId="42" applyNumberFormat="1" applyFont="1" applyAlignment="1">
      <alignment/>
    </xf>
    <xf numFmtId="165" fontId="0" fillId="0" borderId="11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7" borderId="0" xfId="42" applyNumberFormat="1" applyFont="1" applyFill="1" applyAlignment="1">
      <alignment/>
    </xf>
    <xf numFmtId="0" fontId="4" fillId="0" borderId="23" xfId="65" applyFont="1" applyBorder="1" applyAlignment="1">
      <alignment vertical="center"/>
      <protection/>
    </xf>
    <xf numFmtId="0" fontId="4" fillId="0" borderId="14" xfId="65" applyFont="1" applyBorder="1" applyAlignment="1">
      <alignment horizontal="center" vertical="center"/>
      <protection/>
    </xf>
    <xf numFmtId="0" fontId="2" fillId="0" borderId="23" xfId="65" applyBorder="1" applyAlignment="1">
      <alignment horizontal="center" vertical="center"/>
      <protection/>
    </xf>
    <xf numFmtId="2" fontId="4" fillId="0" borderId="19" xfId="65" applyNumberFormat="1" applyFont="1" applyBorder="1" applyAlignment="1">
      <alignment horizontal="right" vertical="center"/>
      <protection/>
    </xf>
    <xf numFmtId="166" fontId="4" fillId="0" borderId="22" xfId="65" applyNumberFormat="1" applyFont="1" applyBorder="1" applyAlignment="1">
      <alignment horizontal="right" vertical="center"/>
      <protection/>
    </xf>
    <xf numFmtId="2" fontId="4" fillId="0" borderId="24" xfId="65" applyNumberFormat="1" applyFont="1" applyBorder="1" applyAlignment="1">
      <alignment horizontal="right" vertical="center"/>
      <protection/>
    </xf>
    <xf numFmtId="0" fontId="4" fillId="0" borderId="19" xfId="65" applyFont="1" applyBorder="1" applyAlignment="1">
      <alignment vertical="center"/>
      <protection/>
    </xf>
    <xf numFmtId="49" fontId="4" fillId="0" borderId="19" xfId="65" applyNumberFormat="1" applyFont="1" applyBorder="1" applyAlignment="1">
      <alignment vertical="center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7" xfId="0" applyFill="1" applyBorder="1" applyAlignment="1">
      <alignment horizontal="center" wrapText="1"/>
    </xf>
    <xf numFmtId="0" fontId="13" fillId="0" borderId="0" xfId="65" applyFont="1" applyBorder="1" applyAlignment="1">
      <alignment vertical="center"/>
      <protection/>
    </xf>
    <xf numFmtId="0" fontId="0" fillId="7" borderId="0" xfId="0" applyFont="1" applyFill="1" applyAlignment="1">
      <alignment/>
    </xf>
    <xf numFmtId="0" fontId="0" fillId="7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7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5" fillId="0" borderId="0" xfId="65" applyFont="1" applyAlignment="1">
      <alignment horizontal="right" vertical="center" wrapText="1"/>
      <protection/>
    </xf>
    <xf numFmtId="0" fontId="2" fillId="0" borderId="23" xfId="65" applyBorder="1">
      <alignment/>
      <protection/>
    </xf>
    <xf numFmtId="49" fontId="4" fillId="0" borderId="24" xfId="65" applyNumberFormat="1" applyFont="1" applyBorder="1" applyAlignment="1">
      <alignment vertical="center"/>
      <protection/>
    </xf>
    <xf numFmtId="0" fontId="4" fillId="0" borderId="10" xfId="65" applyFont="1" applyBorder="1" applyAlignment="1">
      <alignment horizontal="center" vertical="center"/>
      <protection/>
    </xf>
    <xf numFmtId="165" fontId="0" fillId="0" borderId="0" xfId="42" applyNumberFormat="1" applyFont="1" applyAlignment="1">
      <alignment/>
    </xf>
    <xf numFmtId="0" fontId="13" fillId="0" borderId="26" xfId="65" applyFont="1" applyBorder="1" applyAlignment="1">
      <alignment vertical="center"/>
      <protection/>
    </xf>
    <xf numFmtId="165" fontId="0" fillId="7" borderId="30" xfId="42" applyNumberFormat="1" applyFont="1" applyFill="1" applyBorder="1" applyAlignment="1">
      <alignment/>
    </xf>
    <xf numFmtId="165" fontId="0" fillId="0" borderId="27" xfId="42" applyNumberFormat="1" applyFont="1" applyBorder="1" applyAlignment="1">
      <alignment/>
    </xf>
    <xf numFmtId="0" fontId="0" fillId="0" borderId="17" xfId="0" applyBorder="1" applyAlignment="1">
      <alignment/>
    </xf>
    <xf numFmtId="165" fontId="0" fillId="0" borderId="27" xfId="42" applyNumberFormat="1" applyFont="1" applyFill="1" applyBorder="1" applyAlignment="1">
      <alignment/>
    </xf>
    <xf numFmtId="0" fontId="65" fillId="0" borderId="0" xfId="0" applyFont="1" applyAlignment="1">
      <alignment horizontal="center" wrapText="1"/>
    </xf>
    <xf numFmtId="0" fontId="16" fillId="0" borderId="25" xfId="65" applyFont="1" applyBorder="1" applyAlignment="1">
      <alignment vertical="center"/>
      <protection/>
    </xf>
    <xf numFmtId="0" fontId="65" fillId="0" borderId="0" xfId="0" applyFont="1" applyAlignment="1">
      <alignment/>
    </xf>
    <xf numFmtId="0" fontId="16" fillId="0" borderId="0" xfId="65" applyFont="1" applyBorder="1" applyAlignment="1">
      <alignment vertical="center"/>
      <protection/>
    </xf>
    <xf numFmtId="0" fontId="69" fillId="0" borderId="0" xfId="0" applyFont="1" applyAlignment="1">
      <alignment horizontal="center" wrapText="1"/>
    </xf>
    <xf numFmtId="0" fontId="17" fillId="0" borderId="25" xfId="65" applyFont="1" applyBorder="1" applyAlignment="1">
      <alignment vertical="center"/>
      <protection/>
    </xf>
    <xf numFmtId="0" fontId="69" fillId="0" borderId="29" xfId="0" applyFont="1" applyBorder="1" applyAlignment="1">
      <alignment/>
    </xf>
    <xf numFmtId="0" fontId="69" fillId="0" borderId="0" xfId="0" applyFont="1" applyAlignment="1">
      <alignment/>
    </xf>
    <xf numFmtId="0" fontId="17" fillId="0" borderId="25" xfId="65" applyFont="1" applyFill="1" applyBorder="1" applyAlignment="1">
      <alignment vertical="center"/>
      <protection/>
    </xf>
    <xf numFmtId="0" fontId="69" fillId="0" borderId="29" xfId="0" applyFont="1" applyFill="1" applyBorder="1" applyAlignment="1">
      <alignment/>
    </xf>
    <xf numFmtId="165" fontId="0" fillId="0" borderId="11" xfId="42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3" fillId="7" borderId="0" xfId="6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7" borderId="0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65" fillId="0" borderId="17" xfId="0" applyFont="1" applyFill="1" applyBorder="1" applyAlignment="1">
      <alignment vertical="top" wrapText="1"/>
    </xf>
    <xf numFmtId="0" fontId="65" fillId="0" borderId="0" xfId="0" applyFont="1" applyFill="1" applyBorder="1" applyAlignment="1">
      <alignment vertical="top" wrapText="1"/>
    </xf>
    <xf numFmtId="165" fontId="0" fillId="0" borderId="0" xfId="42" applyNumberFormat="1" applyFont="1" applyBorder="1" applyAlignment="1">
      <alignment/>
    </xf>
    <xf numFmtId="0" fontId="69" fillId="0" borderId="0" xfId="0" applyFont="1" applyBorder="1" applyAlignment="1">
      <alignment/>
    </xf>
    <xf numFmtId="0" fontId="17" fillId="0" borderId="31" xfId="65" applyFont="1" applyBorder="1" applyAlignment="1">
      <alignment vertical="center"/>
      <protection/>
    </xf>
    <xf numFmtId="0" fontId="0" fillId="0" borderId="32" xfId="0" applyBorder="1" applyAlignment="1">
      <alignment vertical="top" wrapText="1"/>
    </xf>
    <xf numFmtId="0" fontId="0" fillId="0" borderId="32" xfId="0" applyBorder="1" applyAlignment="1">
      <alignment horizontal="center"/>
    </xf>
    <xf numFmtId="165" fontId="0" fillId="0" borderId="33" xfId="42" applyNumberFormat="1" applyFont="1" applyBorder="1" applyAlignment="1">
      <alignment/>
    </xf>
    <xf numFmtId="165" fontId="0" fillId="0" borderId="34" xfId="42" applyNumberFormat="1" applyFont="1" applyBorder="1" applyAlignment="1">
      <alignment/>
    </xf>
    <xf numFmtId="0" fontId="70" fillId="0" borderId="28" xfId="0" applyFont="1" applyBorder="1" applyAlignment="1">
      <alignment/>
    </xf>
    <xf numFmtId="0" fontId="70" fillId="0" borderId="29" xfId="0" applyFont="1" applyBorder="1" applyAlignment="1">
      <alignment/>
    </xf>
    <xf numFmtId="0" fontId="70" fillId="0" borderId="28" xfId="0" applyFont="1" applyFill="1" applyBorder="1" applyAlignment="1">
      <alignment/>
    </xf>
    <xf numFmtId="0" fontId="13" fillId="0" borderId="0" xfId="65" applyFont="1" applyFill="1" applyBorder="1" applyAlignment="1">
      <alignment vertical="center"/>
      <protection/>
    </xf>
    <xf numFmtId="0" fontId="65" fillId="0" borderId="0" xfId="0" applyFont="1" applyBorder="1" applyAlignment="1">
      <alignment/>
    </xf>
    <xf numFmtId="0" fontId="16" fillId="0" borderId="28" xfId="65" applyFont="1" applyBorder="1" applyAlignment="1">
      <alignment vertical="center"/>
      <protection/>
    </xf>
    <xf numFmtId="0" fontId="16" fillId="0" borderId="29" xfId="65" applyFont="1" applyBorder="1" applyAlignment="1">
      <alignment vertical="center"/>
      <protection/>
    </xf>
    <xf numFmtId="0" fontId="13" fillId="0" borderId="17" xfId="65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34" xfId="0" applyFill="1" applyBorder="1" applyAlignment="1">
      <alignment/>
    </xf>
    <xf numFmtId="0" fontId="16" fillId="0" borderId="31" xfId="65" applyFont="1" applyBorder="1" applyAlignment="1">
      <alignment vertical="center"/>
      <protection/>
    </xf>
    <xf numFmtId="0" fontId="13" fillId="0" borderId="32" xfId="65" applyFont="1" applyBorder="1" applyAlignment="1">
      <alignment vertical="center"/>
      <protection/>
    </xf>
    <xf numFmtId="0" fontId="0" fillId="0" borderId="33" xfId="0" applyBorder="1" applyAlignment="1">
      <alignment/>
    </xf>
    <xf numFmtId="0" fontId="13" fillId="7" borderId="0" xfId="65" applyFont="1" applyFill="1" applyBorder="1" applyAlignment="1">
      <alignment vertical="center" wrapText="1"/>
      <protection/>
    </xf>
    <xf numFmtId="43" fontId="0" fillId="0" borderId="0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30" xfId="42" applyFont="1" applyBorder="1" applyAlignment="1">
      <alignment/>
    </xf>
    <xf numFmtId="43" fontId="0" fillId="0" borderId="35" xfId="42" applyFont="1" applyBorder="1" applyAlignment="1">
      <alignment/>
    </xf>
    <xf numFmtId="43" fontId="0" fillId="0" borderId="0" xfId="42" applyFont="1" applyAlignment="1">
      <alignment/>
    </xf>
    <xf numFmtId="43" fontId="0" fillId="0" borderId="11" xfId="42" applyFont="1" applyBorder="1" applyAlignment="1">
      <alignment/>
    </xf>
    <xf numFmtId="43" fontId="0" fillId="0" borderId="0" xfId="42" applyFont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0" applyNumberFormat="1" applyFont="1" applyAlignment="1">
      <alignment/>
    </xf>
    <xf numFmtId="0" fontId="71" fillId="0" borderId="0" xfId="0" applyFont="1" applyAlignment="1">
      <alignment/>
    </xf>
    <xf numFmtId="43" fontId="13" fillId="0" borderId="0" xfId="66" applyNumberFormat="1" applyFont="1" applyFill="1" applyBorder="1">
      <alignment/>
      <protection/>
    </xf>
    <xf numFmtId="164" fontId="0" fillId="0" borderId="0" xfId="69" applyNumberFormat="1" applyFont="1" applyAlignment="1">
      <alignment/>
    </xf>
    <xf numFmtId="0" fontId="65" fillId="0" borderId="17" xfId="0" applyFont="1" applyBorder="1" applyAlignment="1">
      <alignment horizontal="center"/>
    </xf>
    <xf numFmtId="43" fontId="0" fillId="7" borderId="36" xfId="42" applyFont="1" applyFill="1" applyBorder="1" applyAlignment="1">
      <alignment horizontal="center"/>
    </xf>
    <xf numFmtId="164" fontId="0" fillId="7" borderId="36" xfId="69" applyNumberFormat="1" applyFont="1" applyFill="1" applyBorder="1" applyAlignment="1">
      <alignment/>
    </xf>
    <xf numFmtId="43" fontId="0" fillId="0" borderId="17" xfId="42" applyFont="1" applyBorder="1" applyAlignment="1">
      <alignment/>
    </xf>
    <xf numFmtId="0" fontId="72" fillId="0" borderId="10" xfId="0" applyFont="1" applyBorder="1" applyAlignment="1">
      <alignment horizontal="center" textRotation="255" wrapText="1"/>
    </xf>
    <xf numFmtId="0" fontId="73" fillId="0" borderId="0" xfId="0" applyFont="1" applyAlignment="1">
      <alignment horizontal="center" wrapText="1"/>
    </xf>
    <xf numFmtId="0" fontId="0" fillId="0" borderId="37" xfId="0" applyBorder="1" applyAlignment="1">
      <alignment horizontal="center" wrapText="1"/>
    </xf>
    <xf numFmtId="165" fontId="0" fillId="0" borderId="38" xfId="0" applyNumberFormat="1" applyBorder="1" applyAlignment="1">
      <alignment/>
    </xf>
    <xf numFmtId="165" fontId="0" fillId="0" borderId="39" xfId="0" applyNumberFormat="1" applyBorder="1" applyAlignment="1">
      <alignment/>
    </xf>
    <xf numFmtId="165" fontId="0" fillId="0" borderId="38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69" fillId="0" borderId="31" xfId="0" applyFont="1" applyBorder="1" applyAlignment="1">
      <alignment/>
    </xf>
    <xf numFmtId="0" fontId="0" fillId="0" borderId="32" xfId="0" applyBorder="1" applyAlignment="1">
      <alignment/>
    </xf>
    <xf numFmtId="0" fontId="14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71" fillId="0" borderId="0" xfId="0" applyFont="1" applyAlignment="1">
      <alignment horizontal="center" wrapText="1"/>
    </xf>
    <xf numFmtId="0" fontId="71" fillId="0" borderId="0" xfId="0" applyFont="1" applyFill="1" applyBorder="1" applyAlignment="1">
      <alignment/>
    </xf>
    <xf numFmtId="0" fontId="71" fillId="0" borderId="11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165" fontId="71" fillId="0" borderId="0" xfId="42" applyNumberFormat="1" applyFont="1" applyAlignment="1">
      <alignment horizontal="center" wrapText="1"/>
    </xf>
    <xf numFmtId="165" fontId="71" fillId="0" borderId="0" xfId="42" applyNumberFormat="1" applyFont="1" applyAlignment="1">
      <alignment/>
    </xf>
    <xf numFmtId="165" fontId="71" fillId="0" borderId="11" xfId="42" applyNumberFormat="1" applyFont="1" applyBorder="1" applyAlignment="1">
      <alignment/>
    </xf>
    <xf numFmtId="0" fontId="71" fillId="7" borderId="0" xfId="0" applyFont="1" applyFill="1" applyAlignment="1">
      <alignment horizontal="center" wrapText="1"/>
    </xf>
    <xf numFmtId="0" fontId="71" fillId="7" borderId="0" xfId="0" applyFont="1" applyFill="1" applyAlignment="1">
      <alignment/>
    </xf>
    <xf numFmtId="0" fontId="20" fillId="7" borderId="0" xfId="0" applyFont="1" applyFill="1" applyBorder="1" applyAlignment="1">
      <alignment/>
    </xf>
    <xf numFmtId="0" fontId="71" fillId="7" borderId="0" xfId="0" applyFont="1" applyFill="1" applyBorder="1" applyAlignment="1">
      <alignment/>
    </xf>
    <xf numFmtId="165" fontId="71" fillId="7" borderId="0" xfId="42" applyNumberFormat="1" applyFont="1" applyFill="1" applyAlignment="1">
      <alignment horizontal="center" wrapText="1"/>
    </xf>
    <xf numFmtId="165" fontId="71" fillId="7" borderId="0" xfId="42" applyNumberFormat="1" applyFont="1" applyFill="1" applyAlignment="1">
      <alignment/>
    </xf>
    <xf numFmtId="165" fontId="71" fillId="0" borderId="0" xfId="42" applyNumberFormat="1" applyFont="1" applyFill="1" applyAlignment="1">
      <alignment horizontal="center" wrapText="1"/>
    </xf>
    <xf numFmtId="165" fontId="71" fillId="0" borderId="0" xfId="42" applyNumberFormat="1" applyFont="1" applyFill="1" applyAlignment="1">
      <alignment/>
    </xf>
    <xf numFmtId="0" fontId="14" fillId="0" borderId="17" xfId="0" applyFont="1" applyFill="1" applyBorder="1" applyAlignment="1">
      <alignment horizontal="center" wrapText="1"/>
    </xf>
    <xf numFmtId="0" fontId="71" fillId="0" borderId="17" xfId="0" applyFont="1" applyBorder="1" applyAlignment="1">
      <alignment horizontal="center" wrapText="1"/>
    </xf>
    <xf numFmtId="0" fontId="4" fillId="0" borderId="15" xfId="65" applyFont="1" applyBorder="1" applyAlignment="1">
      <alignment horizontal="center" vertical="center"/>
      <protection/>
    </xf>
    <xf numFmtId="0" fontId="0" fillId="7" borderId="0" xfId="0" applyFill="1" applyAlignment="1">
      <alignment/>
    </xf>
    <xf numFmtId="165" fontId="0" fillId="7" borderId="0" xfId="42" applyNumberFormat="1" applyFont="1" applyFill="1" applyAlignment="1">
      <alignment/>
    </xf>
    <xf numFmtId="43" fontId="0" fillId="0" borderId="0" xfId="42" applyFont="1" applyFill="1" applyBorder="1" applyAlignment="1">
      <alignment/>
    </xf>
    <xf numFmtId="167" fontId="0" fillId="7" borderId="12" xfId="42" applyNumberFormat="1" applyFont="1" applyFill="1" applyBorder="1" applyAlignment="1">
      <alignment/>
    </xf>
    <xf numFmtId="167" fontId="0" fillId="7" borderId="0" xfId="42" applyNumberFormat="1" applyFont="1" applyFill="1" applyBorder="1" applyAlignment="1">
      <alignment/>
    </xf>
    <xf numFmtId="167" fontId="0" fillId="7" borderId="15" xfId="42" applyNumberFormat="1" applyFont="1" applyFill="1" applyBorder="1" applyAlignment="1">
      <alignment/>
    </xf>
    <xf numFmtId="43" fontId="0" fillId="7" borderId="12" xfId="42" applyFont="1" applyFill="1" applyBorder="1" applyAlignment="1">
      <alignment/>
    </xf>
    <xf numFmtId="43" fontId="0" fillId="7" borderId="0" xfId="42" applyFont="1" applyFill="1" applyBorder="1" applyAlignment="1">
      <alignment/>
    </xf>
    <xf numFmtId="43" fontId="0" fillId="7" borderId="15" xfId="42" applyFont="1" applyFill="1" applyBorder="1" applyAlignment="1">
      <alignment/>
    </xf>
    <xf numFmtId="49" fontId="4" fillId="0" borderId="19" xfId="65" applyNumberFormat="1" applyFont="1" applyBorder="1" applyAlignment="1" applyProtection="1">
      <alignment horizontal="center" vertical="center"/>
      <protection locked="0"/>
    </xf>
    <xf numFmtId="0" fontId="4" fillId="0" borderId="40" xfId="65" applyFont="1" applyBorder="1" applyAlignment="1">
      <alignment horizontal="center" vertical="center"/>
      <protection/>
    </xf>
    <xf numFmtId="0" fontId="0" fillId="7" borderId="0" xfId="0" applyFill="1" applyBorder="1" applyAlignment="1">
      <alignment horizontal="left"/>
    </xf>
    <xf numFmtId="0" fontId="0" fillId="7" borderId="15" xfId="0" applyFill="1" applyBorder="1" applyAlignment="1">
      <alignment horizontal="left"/>
    </xf>
    <xf numFmtId="166" fontId="4" fillId="0" borderId="40" xfId="65" applyNumberFormat="1" applyFont="1" applyBorder="1" applyAlignment="1">
      <alignment horizontal="right" vertical="center"/>
      <protection/>
    </xf>
    <xf numFmtId="9" fontId="0" fillId="7" borderId="12" xfId="69" applyFont="1" applyFill="1" applyBorder="1" applyAlignment="1">
      <alignment/>
    </xf>
    <xf numFmtId="9" fontId="0" fillId="0" borderId="12" xfId="69" applyFont="1" applyFill="1" applyBorder="1" applyAlignment="1">
      <alignment/>
    </xf>
    <xf numFmtId="9" fontId="0" fillId="7" borderId="0" xfId="69" applyFont="1" applyFill="1" applyBorder="1" applyAlignment="1">
      <alignment/>
    </xf>
    <xf numFmtId="9" fontId="0" fillId="0" borderId="0" xfId="69" applyFont="1" applyFill="1" applyBorder="1" applyAlignment="1">
      <alignment/>
    </xf>
    <xf numFmtId="9" fontId="0" fillId="7" borderId="20" xfId="69" applyFont="1" applyFill="1" applyBorder="1" applyAlignment="1">
      <alignment/>
    </xf>
    <xf numFmtId="9" fontId="0" fillId="7" borderId="13" xfId="69" applyFont="1" applyFill="1" applyBorder="1" applyAlignment="1">
      <alignment/>
    </xf>
    <xf numFmtId="9" fontId="0" fillId="7" borderId="23" xfId="69" applyFont="1" applyFill="1" applyBorder="1" applyAlignment="1">
      <alignment/>
    </xf>
    <xf numFmtId="0" fontId="74" fillId="0" borderId="26" xfId="0" applyFont="1" applyBorder="1" applyAlignment="1">
      <alignment/>
    </xf>
    <xf numFmtId="9" fontId="0" fillId="7" borderId="14" xfId="69" applyFont="1" applyFill="1" applyBorder="1" applyAlignment="1">
      <alignment/>
    </xf>
    <xf numFmtId="164" fontId="0" fillId="0" borderId="0" xfId="69" applyNumberFormat="1" applyFont="1" applyAlignment="1">
      <alignment/>
    </xf>
    <xf numFmtId="9" fontId="0" fillId="7" borderId="24" xfId="69" applyFont="1" applyFill="1" applyBorder="1" applyAlignment="1">
      <alignment/>
    </xf>
    <xf numFmtId="9" fontId="0" fillId="7" borderId="15" xfId="69" applyFont="1" applyFill="1" applyBorder="1" applyAlignment="1">
      <alignment/>
    </xf>
    <xf numFmtId="9" fontId="0" fillId="0" borderId="15" xfId="69" applyFont="1" applyFill="1" applyBorder="1" applyAlignment="1">
      <alignment/>
    </xf>
    <xf numFmtId="9" fontId="0" fillId="7" borderId="16" xfId="69" applyFont="1" applyFill="1" applyBorder="1" applyAlignment="1">
      <alignment/>
    </xf>
    <xf numFmtId="43" fontId="0" fillId="0" borderId="37" xfId="42" applyFont="1" applyFill="1" applyBorder="1" applyAlignment="1">
      <alignment horizontal="center"/>
    </xf>
    <xf numFmtId="43" fontId="0" fillId="0" borderId="36" xfId="42" applyFont="1" applyFill="1" applyBorder="1" applyAlignment="1">
      <alignment horizontal="center"/>
    </xf>
    <xf numFmtId="165" fontId="0" fillId="7" borderId="0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7" borderId="0" xfId="42" applyNumberFormat="1" applyFont="1" applyFill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165" fontId="0" fillId="7" borderId="32" xfId="42" applyNumberFormat="1" applyFont="1" applyFill="1" applyBorder="1" applyAlignment="1">
      <alignment/>
    </xf>
    <xf numFmtId="9" fontId="0" fillId="0" borderId="19" xfId="69" applyFont="1" applyFill="1" applyBorder="1" applyAlignment="1">
      <alignment/>
    </xf>
    <xf numFmtId="9" fontId="0" fillId="0" borderId="40" xfId="69" applyFont="1" applyFill="1" applyBorder="1" applyAlignment="1">
      <alignment/>
    </xf>
    <xf numFmtId="9" fontId="0" fillId="0" borderId="22" xfId="69" applyFont="1" applyFill="1" applyBorder="1" applyAlignment="1">
      <alignment/>
    </xf>
    <xf numFmtId="0" fontId="65" fillId="0" borderId="10" xfId="0" applyFont="1" applyBorder="1" applyAlignment="1">
      <alignment horizontal="center" wrapText="1"/>
    </xf>
    <xf numFmtId="0" fontId="65" fillId="0" borderId="17" xfId="0" applyFont="1" applyBorder="1" applyAlignment="1">
      <alignment horizontal="center" wrapText="1"/>
    </xf>
    <xf numFmtId="0" fontId="4" fillId="0" borderId="40" xfId="65" applyFont="1" applyBorder="1" applyAlignment="1">
      <alignment vertical="center"/>
      <protection/>
    </xf>
    <xf numFmtId="0" fontId="0" fillId="0" borderId="26" xfId="0" applyFont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75" fillId="0" borderId="22" xfId="65" applyFont="1" applyBorder="1" applyAlignment="1">
      <alignment vertical="center"/>
      <protection/>
    </xf>
    <xf numFmtId="0" fontId="75" fillId="0" borderId="22" xfId="65" applyFont="1" applyBorder="1" applyAlignment="1">
      <alignment horizontal="right" vertical="center"/>
      <protection/>
    </xf>
    <xf numFmtId="166" fontId="0" fillId="0" borderId="0" xfId="0" applyNumberFormat="1" applyAlignment="1">
      <alignment/>
    </xf>
    <xf numFmtId="168" fontId="4" fillId="0" borderId="10" xfId="65" applyNumberFormat="1" applyFont="1" applyBorder="1" applyAlignment="1" applyProtection="1">
      <alignment horizontal="right" vertical="center"/>
      <protection locked="0"/>
    </xf>
    <xf numFmtId="168" fontId="4" fillId="0" borderId="10" xfId="65" applyNumberFormat="1" applyFont="1" applyBorder="1" applyAlignment="1">
      <alignment horizontal="right" vertical="center"/>
      <protection/>
    </xf>
    <xf numFmtId="168" fontId="4" fillId="0" borderId="10" xfId="65" applyNumberFormat="1" applyFont="1" applyFill="1" applyBorder="1" applyAlignment="1" applyProtection="1">
      <alignment horizontal="right" vertical="center"/>
      <protection locked="0"/>
    </xf>
    <xf numFmtId="164" fontId="0" fillId="7" borderId="0" xfId="0" applyNumberFormat="1" applyFill="1" applyAlignment="1">
      <alignment/>
    </xf>
    <xf numFmtId="0" fontId="0" fillId="7" borderId="10" xfId="0" applyFill="1" applyBorder="1" applyAlignment="1">
      <alignment/>
    </xf>
    <xf numFmtId="164" fontId="0" fillId="7" borderId="10" xfId="69" applyNumberFormat="1" applyFont="1" applyFill="1" applyBorder="1" applyAlignment="1">
      <alignment/>
    </xf>
    <xf numFmtId="43" fontId="76" fillId="0" borderId="0" xfId="42" applyFont="1" applyAlignment="1">
      <alignment/>
    </xf>
    <xf numFmtId="0" fontId="76" fillId="0" borderId="0" xfId="0" applyFont="1" applyAlignment="1">
      <alignment/>
    </xf>
    <xf numFmtId="0" fontId="77" fillId="0" borderId="17" xfId="0" applyFont="1" applyBorder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10" fontId="79" fillId="0" borderId="0" xfId="69" applyNumberFormat="1" applyFont="1" applyAlignment="1">
      <alignment/>
    </xf>
    <xf numFmtId="10" fontId="77" fillId="0" borderId="0" xfId="69" applyNumberFormat="1" applyFont="1" applyAlignment="1">
      <alignment/>
    </xf>
    <xf numFmtId="43" fontId="76" fillId="0" borderId="11" xfId="0" applyNumberFormat="1" applyFont="1" applyBorder="1" applyAlignment="1">
      <alignment/>
    </xf>
    <xf numFmtId="43" fontId="76" fillId="0" borderId="0" xfId="0" applyNumberFormat="1" applyFont="1" applyBorder="1" applyAlignment="1">
      <alignment/>
    </xf>
    <xf numFmtId="0" fontId="66" fillId="0" borderId="0" xfId="0" applyFont="1" applyAlignment="1">
      <alignment/>
    </xf>
    <xf numFmtId="43" fontId="80" fillId="0" borderId="0" xfId="0" applyNumberFormat="1" applyFont="1" applyBorder="1" applyAlignment="1">
      <alignment/>
    </xf>
    <xf numFmtId="43" fontId="66" fillId="0" borderId="0" xfId="0" applyNumberFormat="1" applyFont="1" applyAlignment="1">
      <alignment/>
    </xf>
    <xf numFmtId="0" fontId="81" fillId="0" borderId="17" xfId="0" applyFont="1" applyBorder="1" applyAlignment="1">
      <alignment horizontal="center" wrapText="1"/>
    </xf>
    <xf numFmtId="0" fontId="66" fillId="0" borderId="17" xfId="0" applyFont="1" applyBorder="1" applyAlignment="1">
      <alignment horizontal="center" wrapText="1"/>
    </xf>
    <xf numFmtId="43" fontId="80" fillId="0" borderId="0" xfId="42" applyFont="1" applyAlignment="1">
      <alignment/>
    </xf>
    <xf numFmtId="43" fontId="80" fillId="0" borderId="11" xfId="0" applyNumberFormat="1" applyFont="1" applyBorder="1" applyAlignment="1">
      <alignment/>
    </xf>
    <xf numFmtId="168" fontId="66" fillId="0" borderId="0" xfId="0" applyNumberFormat="1" applyFont="1" applyAlignment="1">
      <alignment/>
    </xf>
    <xf numFmtId="43" fontId="76" fillId="0" borderId="41" xfId="0" applyNumberFormat="1" applyFont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76" fillId="0" borderId="0" xfId="42" applyFont="1" applyBorder="1" applyAlignment="1">
      <alignment/>
    </xf>
    <xf numFmtId="43" fontId="76" fillId="0" borderId="30" xfId="42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43" fontId="76" fillId="0" borderId="19" xfId="42" applyFont="1" applyBorder="1" applyAlignment="1">
      <alignment horizontal="center" wrapText="1"/>
    </xf>
    <xf numFmtId="43" fontId="76" fillId="0" borderId="40" xfId="42" applyFont="1" applyBorder="1" applyAlignment="1">
      <alignment horizontal="center" wrapText="1"/>
    </xf>
    <xf numFmtId="43" fontId="76" fillId="0" borderId="45" xfId="42" applyFont="1" applyBorder="1" applyAlignment="1">
      <alignment horizontal="center" wrapText="1"/>
    </xf>
    <xf numFmtId="0" fontId="13" fillId="0" borderId="0" xfId="65" applyFont="1" applyFill="1" applyBorder="1" applyAlignment="1">
      <alignment vertical="center" wrapText="1"/>
      <protection/>
    </xf>
    <xf numFmtId="0" fontId="13" fillId="0" borderId="0" xfId="65" applyFont="1" applyFill="1" applyBorder="1" applyAlignment="1">
      <alignment horizontal="right" vertical="center" wrapText="1"/>
      <protection/>
    </xf>
    <xf numFmtId="165" fontId="0" fillId="0" borderId="30" xfId="42" applyNumberFormat="1" applyFont="1" applyFill="1" applyBorder="1" applyAlignment="1">
      <alignment/>
    </xf>
    <xf numFmtId="0" fontId="13" fillId="0" borderId="26" xfId="65" applyFont="1" applyFill="1" applyBorder="1" applyAlignment="1">
      <alignment vertical="center"/>
      <protection/>
    </xf>
    <xf numFmtId="0" fontId="0" fillId="0" borderId="26" xfId="0" applyFont="1" applyFill="1" applyBorder="1" applyAlignment="1">
      <alignment horizontal="right"/>
    </xf>
    <xf numFmtId="0" fontId="0" fillId="0" borderId="27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3" fillId="0" borderId="32" xfId="65" applyFont="1" applyFill="1" applyBorder="1" applyAlignment="1">
      <alignment vertical="center"/>
      <protection/>
    </xf>
    <xf numFmtId="0" fontId="0" fillId="0" borderId="32" xfId="0" applyFont="1" applyFill="1" applyBorder="1" applyAlignment="1">
      <alignment horizontal="right"/>
    </xf>
    <xf numFmtId="0" fontId="0" fillId="0" borderId="33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46" xfId="0" applyFill="1" applyBorder="1" applyAlignment="1">
      <alignment/>
    </xf>
    <xf numFmtId="43" fontId="71" fillId="0" borderId="0" xfId="42" applyFont="1" applyBorder="1" applyAlignment="1">
      <alignment/>
    </xf>
    <xf numFmtId="43" fontId="71" fillId="0" borderId="30" xfId="42" applyFont="1" applyBorder="1" applyAlignment="1">
      <alignment/>
    </xf>
    <xf numFmtId="43" fontId="71" fillId="0" borderId="11" xfId="42" applyFont="1" applyBorder="1" applyAlignment="1">
      <alignment/>
    </xf>
    <xf numFmtId="43" fontId="71" fillId="0" borderId="34" xfId="42" applyFont="1" applyBorder="1" applyAlignment="1">
      <alignment/>
    </xf>
    <xf numFmtId="0" fontId="78" fillId="0" borderId="25" xfId="0" applyFon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30" xfId="0" applyBorder="1" applyAlignment="1">
      <alignment/>
    </xf>
    <xf numFmtId="165" fontId="0" fillId="0" borderId="26" xfId="0" applyNumberFormat="1" applyBorder="1" applyAlignment="1">
      <alignment/>
    </xf>
    <xf numFmtId="165" fontId="0" fillId="0" borderId="27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30" xfId="69" applyNumberFormat="1" applyFont="1" applyBorder="1" applyAlignment="1">
      <alignment/>
    </xf>
    <xf numFmtId="165" fontId="0" fillId="0" borderId="17" xfId="0" applyNumberFormat="1" applyBorder="1" applyAlignment="1">
      <alignment/>
    </xf>
    <xf numFmtId="164" fontId="0" fillId="0" borderId="35" xfId="69" applyNumberFormat="1" applyFont="1" applyBorder="1" applyAlignment="1">
      <alignment/>
    </xf>
    <xf numFmtId="0" fontId="74" fillId="0" borderId="0" xfId="0" applyFont="1" applyAlignment="1">
      <alignment/>
    </xf>
    <xf numFmtId="164" fontId="74" fillId="0" borderId="0" xfId="69" applyNumberFormat="1" applyFont="1" applyAlignment="1">
      <alignment/>
    </xf>
    <xf numFmtId="165" fontId="74" fillId="0" borderId="0" xfId="0" applyNumberFormat="1" applyFont="1" applyAlignment="1">
      <alignment/>
    </xf>
    <xf numFmtId="43" fontId="74" fillId="0" borderId="36" xfId="42" applyFont="1" applyBorder="1" applyAlignment="1">
      <alignment/>
    </xf>
    <xf numFmtId="43" fontId="74" fillId="0" borderId="38" xfId="42" applyFont="1" applyBorder="1" applyAlignment="1">
      <alignment/>
    </xf>
    <xf numFmtId="0" fontId="74" fillId="0" borderId="31" xfId="0" applyFont="1" applyBorder="1" applyAlignment="1">
      <alignment horizontal="right"/>
    </xf>
    <xf numFmtId="164" fontId="74" fillId="0" borderId="28" xfId="69" applyNumberFormat="1" applyFont="1" applyBorder="1" applyAlignment="1">
      <alignment/>
    </xf>
    <xf numFmtId="164" fontId="74" fillId="0" borderId="28" xfId="69" applyNumberFormat="1" applyFont="1" applyBorder="1" applyAlignment="1">
      <alignment horizontal="left"/>
    </xf>
    <xf numFmtId="0" fontId="19" fillId="7" borderId="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164" fontId="71" fillId="0" borderId="0" xfId="69" applyNumberFormat="1" applyFont="1" applyBorder="1" applyAlignment="1">
      <alignment/>
    </xf>
    <xf numFmtId="0" fontId="74" fillId="0" borderId="36" xfId="0" applyFont="1" applyBorder="1" applyAlignment="1">
      <alignment horizontal="right"/>
    </xf>
    <xf numFmtId="0" fontId="4" fillId="0" borderId="40" xfId="65" applyFont="1" applyBorder="1" applyAlignment="1" applyProtection="1">
      <alignment horizontal="left" vertical="center"/>
      <protection locked="0"/>
    </xf>
    <xf numFmtId="0" fontId="4" fillId="0" borderId="0" xfId="65" applyFont="1" applyAlignment="1">
      <alignment horizontal="center" vertical="center"/>
      <protection/>
    </xf>
    <xf numFmtId="0" fontId="4" fillId="0" borderId="40" xfId="65" applyFont="1" applyBorder="1" applyAlignment="1">
      <alignment vertical="center"/>
      <protection/>
    </xf>
    <xf numFmtId="0" fontId="4" fillId="33" borderId="40" xfId="65" applyFont="1" applyFill="1" applyBorder="1" applyAlignment="1">
      <alignment vertical="center"/>
      <protection/>
    </xf>
    <xf numFmtId="0" fontId="4" fillId="33" borderId="22" xfId="65" applyFont="1" applyFill="1" applyBorder="1" applyAlignment="1">
      <alignment vertical="center"/>
      <protection/>
    </xf>
    <xf numFmtId="0" fontId="9" fillId="0" borderId="19" xfId="65" applyFont="1" applyBorder="1" applyAlignment="1">
      <alignment vertical="center"/>
      <protection/>
    </xf>
    <xf numFmtId="0" fontId="2" fillId="0" borderId="40" xfId="65" applyBorder="1" applyAlignment="1">
      <alignment vertical="center"/>
      <protection/>
    </xf>
    <xf numFmtId="0" fontId="9" fillId="0" borderId="40" xfId="65" applyFont="1" applyBorder="1" applyAlignment="1">
      <alignment vertical="center"/>
      <protection/>
    </xf>
    <xf numFmtId="0" fontId="65" fillId="0" borderId="17" xfId="0" applyFont="1" applyBorder="1" applyAlignment="1">
      <alignment horizontal="center" wrapText="1"/>
    </xf>
    <xf numFmtId="0" fontId="4" fillId="0" borderId="20" xfId="65" applyFont="1" applyBorder="1" applyAlignment="1">
      <alignment horizontal="center" vertical="center"/>
      <protection/>
    </xf>
    <xf numFmtId="0" fontId="4" fillId="0" borderId="13" xfId="65" applyFont="1" applyBorder="1" applyAlignment="1">
      <alignment horizontal="center" vertical="center"/>
      <protection/>
    </xf>
    <xf numFmtId="0" fontId="4" fillId="0" borderId="23" xfId="65" applyFont="1" applyBorder="1" applyAlignment="1">
      <alignment horizontal="center" vertical="center"/>
      <protection/>
    </xf>
    <xf numFmtId="0" fontId="4" fillId="0" borderId="14" xfId="65" applyFont="1" applyBorder="1" applyAlignment="1">
      <alignment horizontal="center" vertical="center"/>
      <protection/>
    </xf>
    <xf numFmtId="0" fontId="4" fillId="0" borderId="24" xfId="65" applyFont="1" applyBorder="1" applyAlignment="1">
      <alignment horizontal="center" vertical="center"/>
      <protection/>
    </xf>
    <xf numFmtId="0" fontId="4" fillId="0" borderId="16" xfId="65" applyFont="1" applyBorder="1" applyAlignment="1">
      <alignment horizontal="center" vertical="center"/>
      <protection/>
    </xf>
    <xf numFmtId="49" fontId="4" fillId="0" borderId="20" xfId="65" applyNumberFormat="1" applyFont="1" applyBorder="1" applyAlignment="1">
      <alignment horizontal="right" vertical="center"/>
      <protection/>
    </xf>
    <xf numFmtId="49" fontId="4" fillId="0" borderId="24" xfId="65" applyNumberFormat="1" applyFont="1" applyBorder="1" applyAlignment="1">
      <alignment horizontal="right" vertical="center"/>
      <protection/>
    </xf>
    <xf numFmtId="0" fontId="4" fillId="0" borderId="47" xfId="65" applyFont="1" applyBorder="1" applyAlignment="1">
      <alignment horizontal="center" vertical="center"/>
      <protection/>
    </xf>
    <xf numFmtId="0" fontId="4" fillId="0" borderId="21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vertical="center"/>
      <protection/>
    </xf>
    <xf numFmtId="0" fontId="9" fillId="0" borderId="19" xfId="65" applyFont="1" applyBorder="1" applyAlignment="1">
      <alignment horizontal="center" vertical="center"/>
      <protection/>
    </xf>
    <xf numFmtId="0" fontId="9" fillId="0" borderId="40" xfId="65" applyFont="1" applyBorder="1" applyAlignment="1">
      <alignment horizontal="center" vertical="center"/>
      <protection/>
    </xf>
    <xf numFmtId="0" fontId="4" fillId="0" borderId="12" xfId="65" applyFont="1" applyBorder="1" applyAlignment="1">
      <alignment vertical="center"/>
      <protection/>
    </xf>
    <xf numFmtId="0" fontId="4" fillId="0" borderId="13" xfId="65" applyFont="1" applyBorder="1" applyAlignment="1">
      <alignment vertical="center"/>
      <protection/>
    </xf>
    <xf numFmtId="0" fontId="2" fillId="0" borderId="15" xfId="65" applyBorder="1" applyAlignment="1">
      <alignment vertical="center"/>
      <protection/>
    </xf>
    <xf numFmtId="0" fontId="2" fillId="0" borderId="16" xfId="65" applyBorder="1" applyAlignment="1">
      <alignment vertical="center"/>
      <protection/>
    </xf>
    <xf numFmtId="0" fontId="4" fillId="0" borderId="0" xfId="65" applyFont="1" applyAlignment="1">
      <alignment horizontal="right" vertical="center"/>
      <protection/>
    </xf>
    <xf numFmtId="0" fontId="2" fillId="0" borderId="0" xfId="65" applyAlignment="1">
      <alignment horizontal="right" vertical="center"/>
      <protection/>
    </xf>
    <xf numFmtId="0" fontId="10" fillId="0" borderId="0" xfId="65" applyFont="1" applyAlignment="1">
      <alignment horizontal="center" vertical="center"/>
      <protection/>
    </xf>
    <xf numFmtId="0" fontId="2" fillId="0" borderId="0" xfId="65" applyAlignment="1">
      <alignment horizontal="center"/>
      <protection/>
    </xf>
    <xf numFmtId="0" fontId="4" fillId="33" borderId="19" xfId="65" applyFont="1" applyFill="1" applyBorder="1" applyAlignment="1">
      <alignment vertical="center"/>
      <protection/>
    </xf>
    <xf numFmtId="0" fontId="4" fillId="0" borderId="24" xfId="65" applyFont="1" applyBorder="1" applyAlignment="1">
      <alignment vertical="center"/>
      <protection/>
    </xf>
    <xf numFmtId="0" fontId="4" fillId="0" borderId="15" xfId="65" applyFont="1" applyBorder="1" applyAlignment="1">
      <alignment vertical="center"/>
      <protection/>
    </xf>
    <xf numFmtId="0" fontId="4" fillId="0" borderId="16" xfId="65" applyFont="1" applyBorder="1" applyAlignment="1">
      <alignment vertical="center"/>
      <protection/>
    </xf>
    <xf numFmtId="0" fontId="4" fillId="0" borderId="12" xfId="65" applyFont="1" applyBorder="1" applyAlignment="1" applyProtection="1">
      <alignment vertical="top"/>
      <protection locked="0"/>
    </xf>
    <xf numFmtId="0" fontId="4" fillId="0" borderId="19" xfId="65" applyFont="1" applyBorder="1" applyAlignment="1">
      <alignment horizontal="center" vertical="center"/>
      <protection/>
    </xf>
    <xf numFmtId="0" fontId="4" fillId="0" borderId="40" xfId="65" applyFont="1" applyBorder="1" applyAlignment="1">
      <alignment horizontal="center" vertical="center"/>
      <protection/>
    </xf>
    <xf numFmtId="0" fontId="2" fillId="0" borderId="22" xfId="65" applyBorder="1" applyAlignment="1">
      <alignment horizontal="center" vertical="center"/>
      <protection/>
    </xf>
    <xf numFmtId="0" fontId="12" fillId="0" borderId="0" xfId="65" applyFont="1" applyAlignment="1">
      <alignment horizontal="center"/>
      <protection/>
    </xf>
    <xf numFmtId="0" fontId="2" fillId="0" borderId="0" xfId="65" applyAlignment="1">
      <alignment/>
      <protection/>
    </xf>
    <xf numFmtId="0" fontId="4" fillId="0" borderId="22" xfId="65" applyFont="1" applyBorder="1" applyAlignment="1">
      <alignment vertical="center"/>
      <protection/>
    </xf>
    <xf numFmtId="0" fontId="4" fillId="0" borderId="0" xfId="65" applyFont="1" applyAlignment="1">
      <alignment vertical="center"/>
      <protection/>
    </xf>
    <xf numFmtId="0" fontId="4" fillId="0" borderId="23" xfId="65" applyFont="1" applyBorder="1" applyAlignment="1">
      <alignment vertical="center"/>
      <protection/>
    </xf>
    <xf numFmtId="0" fontId="2" fillId="0" borderId="23" xfId="65" applyBorder="1" applyAlignment="1">
      <alignment vertical="center"/>
      <protection/>
    </xf>
    <xf numFmtId="0" fontId="4" fillId="0" borderId="18" xfId="65" applyFont="1" applyBorder="1" applyAlignment="1">
      <alignment horizontal="center" vertical="center" wrapText="1"/>
      <protection/>
    </xf>
    <xf numFmtId="0" fontId="2" fillId="0" borderId="18" xfId="65" applyBorder="1" applyAlignment="1">
      <alignment vertical="center"/>
      <protection/>
    </xf>
    <xf numFmtId="0" fontId="2" fillId="0" borderId="15" xfId="65" applyBorder="1" applyAlignment="1" applyProtection="1">
      <alignment horizontal="left" vertical="top"/>
      <protection locked="0"/>
    </xf>
    <xf numFmtId="0" fontId="2" fillId="0" borderId="16" xfId="65" applyBorder="1" applyAlignment="1" applyProtection="1">
      <alignment horizontal="left" vertical="top"/>
      <protection locked="0"/>
    </xf>
    <xf numFmtId="0" fontId="4" fillId="0" borderId="12" xfId="65" applyFont="1" applyBorder="1" applyAlignment="1" applyProtection="1">
      <alignment horizontal="left" vertical="top"/>
      <protection locked="0"/>
    </xf>
    <xf numFmtId="0" fontId="4" fillId="0" borderId="24" xfId="65" applyFont="1" applyBorder="1" applyAlignment="1" applyProtection="1">
      <alignment horizontal="left" vertical="top"/>
      <protection locked="0"/>
    </xf>
    <xf numFmtId="0" fontId="4" fillId="0" borderId="15" xfId="65" applyFont="1" applyBorder="1" applyAlignment="1" applyProtection="1">
      <alignment horizontal="left" vertical="top"/>
      <protection locked="0"/>
    </xf>
    <xf numFmtId="0" fontId="4" fillId="33" borderId="15" xfId="65" applyFont="1" applyFill="1" applyBorder="1" applyAlignment="1">
      <alignment vertical="center"/>
      <protection/>
    </xf>
    <xf numFmtId="0" fontId="4" fillId="33" borderId="16" xfId="65" applyFont="1" applyFill="1" applyBorder="1" applyAlignment="1">
      <alignment vertical="center"/>
      <protection/>
    </xf>
    <xf numFmtId="0" fontId="4" fillId="0" borderId="22" xfId="65" applyFont="1" applyBorder="1" applyAlignment="1" applyProtection="1">
      <alignment horizontal="left" vertical="center"/>
      <protection locked="0"/>
    </xf>
    <xf numFmtId="0" fontId="4" fillId="0" borderId="20" xfId="65" applyFont="1" applyBorder="1" applyAlignment="1">
      <alignment horizontal="center"/>
      <protection/>
    </xf>
    <xf numFmtId="0" fontId="2" fillId="0" borderId="12" xfId="65" applyBorder="1" applyAlignment="1">
      <alignment/>
      <protection/>
    </xf>
    <xf numFmtId="0" fontId="2" fillId="0" borderId="24" xfId="65" applyBorder="1" applyAlignment="1">
      <alignment/>
      <protection/>
    </xf>
    <xf numFmtId="0" fontId="2" fillId="0" borderId="15" xfId="65" applyBorder="1" applyAlignment="1">
      <alignment/>
      <protection/>
    </xf>
    <xf numFmtId="0" fontId="9" fillId="0" borderId="24" xfId="65" applyFont="1" applyBorder="1" applyAlignment="1">
      <alignment vertical="center"/>
      <protection/>
    </xf>
    <xf numFmtId="0" fontId="9" fillId="0" borderId="15" xfId="65" applyFont="1" applyBorder="1" applyAlignment="1">
      <alignment vertical="center"/>
      <protection/>
    </xf>
    <xf numFmtId="0" fontId="9" fillId="0" borderId="12" xfId="65" applyFont="1" applyBorder="1" applyAlignment="1">
      <alignment horizontal="center" vertical="center"/>
      <protection/>
    </xf>
    <xf numFmtId="0" fontId="4" fillId="0" borderId="22" xfId="65" applyFont="1" applyBorder="1" applyAlignment="1">
      <alignment horizontal="center" vertical="center"/>
      <protection/>
    </xf>
    <xf numFmtId="0" fontId="4" fillId="0" borderId="0" xfId="65" applyFont="1" applyBorder="1" applyAlignment="1" applyProtection="1">
      <alignment vertical="top"/>
      <protection locked="0"/>
    </xf>
    <xf numFmtId="0" fontId="2" fillId="0" borderId="0" xfId="65" applyAlignment="1" applyProtection="1">
      <alignment vertical="top"/>
      <protection locked="0"/>
    </xf>
    <xf numFmtId="0" fontId="11" fillId="0" borderId="0" xfId="65" applyFont="1" applyAlignment="1">
      <alignment horizontal="center" vertical="center"/>
      <protection/>
    </xf>
    <xf numFmtId="0" fontId="4" fillId="0" borderId="13" xfId="65" applyFont="1" applyBorder="1" applyAlignment="1" applyProtection="1">
      <alignment horizontal="left" vertical="top"/>
      <protection locked="0"/>
    </xf>
    <xf numFmtId="0" fontId="4" fillId="0" borderId="14" xfId="65" applyFont="1" applyBorder="1" applyAlignment="1">
      <alignment horizontal="center" vertical="center" wrapText="1"/>
      <protection/>
    </xf>
    <xf numFmtId="0" fontId="2" fillId="0" borderId="14" xfId="65" applyBorder="1" applyAlignment="1">
      <alignment vertical="center"/>
      <protection/>
    </xf>
    <xf numFmtId="0" fontId="4" fillId="0" borderId="15" xfId="65" applyFont="1" applyBorder="1" applyAlignment="1">
      <alignment horizontal="center" vertical="center"/>
      <protection/>
    </xf>
    <xf numFmtId="0" fontId="9" fillId="0" borderId="20" xfId="65" applyFont="1" applyBorder="1" applyAlignment="1">
      <alignment horizontal="center" vertical="center"/>
      <protection/>
    </xf>
    <xf numFmtId="0" fontId="4" fillId="33" borderId="12" xfId="65" applyFont="1" applyFill="1" applyBorder="1" applyAlignment="1">
      <alignment vertical="center"/>
      <protection/>
    </xf>
    <xf numFmtId="0" fontId="2" fillId="33" borderId="13" xfId="65" applyFill="1" applyBorder="1" applyAlignment="1">
      <alignment vertical="center"/>
      <protection/>
    </xf>
    <xf numFmtId="0" fontId="4" fillId="0" borderId="15" xfId="65" applyFont="1" applyBorder="1" applyAlignment="1" applyProtection="1">
      <alignment vertical="top"/>
      <protection locked="0"/>
    </xf>
    <xf numFmtId="0" fontId="2" fillId="0" borderId="15" xfId="65" applyBorder="1" applyAlignment="1" applyProtection="1">
      <alignment vertical="top"/>
      <protection locked="0"/>
    </xf>
    <xf numFmtId="0" fontId="2" fillId="33" borderId="40" xfId="65" applyFill="1" applyBorder="1" applyAlignment="1">
      <alignment vertical="center"/>
      <protection/>
    </xf>
    <xf numFmtId="0" fontId="2" fillId="33" borderId="22" xfId="65" applyFill="1" applyBorder="1" applyAlignment="1">
      <alignment vertical="center"/>
      <protection/>
    </xf>
    <xf numFmtId="0" fontId="18" fillId="0" borderId="15" xfId="65" applyFont="1" applyBorder="1" applyAlignment="1" applyProtection="1">
      <alignment horizontal="left" vertical="center"/>
      <protection locked="0"/>
    </xf>
    <xf numFmtId="0" fontId="4" fillId="0" borderId="0" xfId="65" applyFont="1" applyBorder="1" applyAlignment="1">
      <alignment horizontal="center" vertical="center"/>
      <protection/>
    </xf>
    <xf numFmtId="0" fontId="3" fillId="0" borderId="0" xfId="65" applyFont="1" applyAlignment="1">
      <alignment horizontal="right" vertical="center"/>
      <protection/>
    </xf>
    <xf numFmtId="0" fontId="2" fillId="0" borderId="0" xfId="65" applyAlignment="1">
      <alignment vertical="center"/>
      <protection/>
    </xf>
    <xf numFmtId="0" fontId="5" fillId="0" borderId="0" xfId="65" applyFont="1" applyAlignment="1">
      <alignment horizontal="center" vertical="center"/>
      <protection/>
    </xf>
    <xf numFmtId="0" fontId="2" fillId="0" borderId="0" xfId="65" applyAlignment="1">
      <alignment horizontal="center" vertical="center"/>
      <protection/>
    </xf>
    <xf numFmtId="0" fontId="6" fillId="0" borderId="0" xfId="65" applyFont="1" applyAlignment="1">
      <alignment horizontal="right" vertical="center"/>
      <protection/>
    </xf>
    <xf numFmtId="0" fontId="4" fillId="33" borderId="13" xfId="65" applyFont="1" applyFill="1" applyBorder="1" applyAlignment="1">
      <alignment vertical="center"/>
      <protection/>
    </xf>
    <xf numFmtId="0" fontId="9" fillId="0" borderId="0" xfId="65" applyFont="1" applyAlignment="1">
      <alignment horizontal="right" vertical="center" wrapText="1"/>
      <protection/>
    </xf>
    <xf numFmtId="0" fontId="74" fillId="0" borderId="31" xfId="0" applyFont="1" applyBorder="1" applyAlignment="1">
      <alignment horizontal="center"/>
    </xf>
    <xf numFmtId="0" fontId="74" fillId="0" borderId="33" xfId="0" applyFont="1" applyBorder="1" applyAlignment="1">
      <alignment horizontal="center"/>
    </xf>
    <xf numFmtId="0" fontId="0" fillId="7" borderId="24" xfId="0" applyFill="1" applyBorder="1" applyAlignment="1">
      <alignment horizontal="left"/>
    </xf>
    <xf numFmtId="0" fontId="0" fillId="7" borderId="15" xfId="0" applyFill="1" applyBorder="1" applyAlignment="1">
      <alignment horizontal="left"/>
    </xf>
    <xf numFmtId="0" fontId="0" fillId="7" borderId="23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4" fillId="0" borderId="31" xfId="0" applyFont="1" applyBorder="1" applyAlignment="1">
      <alignment horizontal="right"/>
    </xf>
    <xf numFmtId="0" fontId="74" fillId="0" borderId="33" xfId="0" applyFont="1" applyBorder="1" applyAlignment="1">
      <alignment horizontal="right"/>
    </xf>
    <xf numFmtId="43" fontId="74" fillId="0" borderId="31" xfId="42" applyFont="1" applyBorder="1" applyAlignment="1">
      <alignment horizontal="center"/>
    </xf>
    <xf numFmtId="43" fontId="74" fillId="0" borderId="33" xfId="42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5" xfId="48"/>
    <cellStyle name="Comma 6" xfId="49"/>
    <cellStyle name="Comma 7" xfId="50"/>
    <cellStyle name="Comma 8" xfId="51"/>
    <cellStyle name="Comma 9" xfId="52"/>
    <cellStyle name="Currency" xfId="53"/>
    <cellStyle name="Currency [0]" xfId="54"/>
    <cellStyle name="Currency 12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2"/>
  <sheetViews>
    <sheetView zoomScalePageLayoutView="0" workbookViewId="0" topLeftCell="A1">
      <selection activeCell="H10" sqref="H10"/>
    </sheetView>
  </sheetViews>
  <sheetFormatPr defaultColWidth="8.88671875" defaultRowHeight="15.75"/>
  <cols>
    <col min="1" max="1" width="2.10546875" style="0" customWidth="1"/>
    <col min="2" max="2" width="18.99609375" style="0" customWidth="1"/>
    <col min="3" max="3" width="16.77734375" style="0" customWidth="1"/>
    <col min="4" max="5" width="9.21484375" style="0" customWidth="1"/>
    <col min="6" max="7" width="9.21484375" style="23" customWidth="1"/>
    <col min="8" max="9" width="9.21484375" style="0" customWidth="1"/>
    <col min="10" max="10" width="10.88671875" style="0" customWidth="1"/>
    <col min="11" max="11" width="2.88671875" style="0" customWidth="1"/>
    <col min="12" max="12" width="9.21484375" style="0" bestFit="1" customWidth="1"/>
  </cols>
  <sheetData>
    <row r="1" spans="1:10" ht="15.75">
      <c r="A1" s="379" t="s">
        <v>76</v>
      </c>
      <c r="B1" s="380"/>
      <c r="C1" s="377" t="s">
        <v>347</v>
      </c>
      <c r="D1" s="377"/>
      <c r="E1" s="45" t="s">
        <v>77</v>
      </c>
      <c r="F1" s="45"/>
      <c r="G1" s="45"/>
      <c r="H1" s="377" t="s">
        <v>78</v>
      </c>
      <c r="I1" s="377"/>
      <c r="J1" s="25"/>
    </row>
    <row r="2" spans="1:12" ht="18">
      <c r="A2" s="381" t="s">
        <v>79</v>
      </c>
      <c r="B2" s="382"/>
      <c r="C2" s="382"/>
      <c r="D2" s="382"/>
      <c r="E2" s="382"/>
      <c r="F2" s="382"/>
      <c r="G2" s="382"/>
      <c r="H2" s="382"/>
      <c r="I2" s="382"/>
      <c r="J2" s="382"/>
      <c r="L2" s="2"/>
    </row>
    <row r="3" spans="1:10" ht="15.75">
      <c r="A3" s="383" t="s">
        <v>80</v>
      </c>
      <c r="B3" s="328"/>
      <c r="C3" s="328"/>
      <c r="D3" s="328"/>
      <c r="E3" s="328"/>
      <c r="F3" s="328"/>
      <c r="G3" s="328"/>
      <c r="H3" s="328"/>
      <c r="I3" s="328"/>
      <c r="J3" s="328"/>
    </row>
    <row r="4" spans="1:10" ht="15.75">
      <c r="A4" s="306" t="s">
        <v>81</v>
      </c>
      <c r="B4" s="308"/>
      <c r="C4" s="304"/>
      <c r="D4" s="304"/>
      <c r="E4" s="304"/>
      <c r="F4" s="371"/>
      <c r="G4" s="371"/>
      <c r="H4" s="371"/>
      <c r="I4" s="371"/>
      <c r="J4" s="384"/>
    </row>
    <row r="5" spans="1:10" ht="15.75">
      <c r="A5" s="343"/>
      <c r="B5" s="367" t="s">
        <v>82</v>
      </c>
      <c r="C5" s="345" t="s">
        <v>83</v>
      </c>
      <c r="D5" s="314" t="s">
        <v>84</v>
      </c>
      <c r="E5" s="369"/>
      <c r="F5" s="177"/>
      <c r="G5" s="177"/>
      <c r="H5" s="336" t="s">
        <v>85</v>
      </c>
      <c r="I5" s="337"/>
      <c r="J5" s="338"/>
    </row>
    <row r="6" spans="1:10" ht="15.75">
      <c r="A6" s="344"/>
      <c r="B6" s="368"/>
      <c r="C6" s="346"/>
      <c r="D6" s="28" t="s">
        <v>86</v>
      </c>
      <c r="E6" s="28" t="s">
        <v>87</v>
      </c>
      <c r="F6" s="28" t="s">
        <v>309</v>
      </c>
      <c r="G6" s="28" t="s">
        <v>308</v>
      </c>
      <c r="H6" s="28" t="s">
        <v>88</v>
      </c>
      <c r="I6" s="28" t="s">
        <v>89</v>
      </c>
      <c r="J6" s="60" t="s">
        <v>72</v>
      </c>
    </row>
    <row r="7" spans="1:10" ht="15.75">
      <c r="A7" s="61"/>
      <c r="B7" s="34" t="s">
        <v>90</v>
      </c>
      <c r="C7" s="47" t="s">
        <v>91</v>
      </c>
      <c r="D7" s="35" t="s">
        <v>92</v>
      </c>
      <c r="E7" s="35" t="s">
        <v>93</v>
      </c>
      <c r="F7" s="35" t="s">
        <v>310</v>
      </c>
      <c r="G7" s="35" t="s">
        <v>311</v>
      </c>
      <c r="H7" s="35" t="s">
        <v>94</v>
      </c>
      <c r="I7" s="35" t="s">
        <v>95</v>
      </c>
      <c r="J7" s="34" t="s">
        <v>96</v>
      </c>
    </row>
    <row r="8" spans="1:10" ht="15.75">
      <c r="A8" s="62" t="s">
        <v>97</v>
      </c>
      <c r="B8" s="46" t="s">
        <v>98</v>
      </c>
      <c r="C8" s="49" t="s">
        <v>99</v>
      </c>
      <c r="D8" s="42"/>
      <c r="E8" s="42">
        <f>+F8+G8</f>
        <v>0</v>
      </c>
      <c r="F8" s="42"/>
      <c r="G8" s="42"/>
      <c r="H8" s="42">
        <f>D26</f>
        <v>68692.12</v>
      </c>
      <c r="I8" s="42">
        <f>E26+H26+I26</f>
        <v>118633.30623999999</v>
      </c>
      <c r="J8" s="63">
        <f>+H8+I8</f>
        <v>187325.42624</v>
      </c>
    </row>
    <row r="9" spans="1:10" ht="15.75">
      <c r="A9" s="62" t="s">
        <v>100</v>
      </c>
      <c r="B9" s="46"/>
      <c r="C9" s="50"/>
      <c r="D9" s="42"/>
      <c r="E9" s="42"/>
      <c r="F9" s="42"/>
      <c r="G9" s="42"/>
      <c r="H9" s="42"/>
      <c r="I9" s="42"/>
      <c r="J9" s="63">
        <f>+H9+I9</f>
        <v>0</v>
      </c>
    </row>
    <row r="10" spans="1:10" ht="15.75">
      <c r="A10" s="62" t="s">
        <v>101</v>
      </c>
      <c r="B10" s="46"/>
      <c r="C10" s="50"/>
      <c r="D10" s="42"/>
      <c r="E10" s="42"/>
      <c r="F10" s="42"/>
      <c r="G10" s="42"/>
      <c r="H10" s="42"/>
      <c r="I10" s="42"/>
      <c r="J10" s="63">
        <f>+H10+I10</f>
        <v>0</v>
      </c>
    </row>
    <row r="11" spans="1:10" ht="15.75">
      <c r="A11" s="64" t="s">
        <v>102</v>
      </c>
      <c r="B11" s="51"/>
      <c r="C11" s="52"/>
      <c r="D11" s="53"/>
      <c r="E11" s="53"/>
      <c r="F11" s="53"/>
      <c r="G11" s="53"/>
      <c r="H11" s="53"/>
      <c r="I11" s="53"/>
      <c r="J11" s="63">
        <f>+H11+I11</f>
        <v>0</v>
      </c>
    </row>
    <row r="12" spans="1:10" ht="15.75">
      <c r="A12" s="64" t="s">
        <v>103</v>
      </c>
      <c r="B12" s="29" t="s">
        <v>104</v>
      </c>
      <c r="C12" s="49"/>
      <c r="D12" s="41">
        <f>SUM(D8:D11)</f>
        <v>0</v>
      </c>
      <c r="E12" s="41">
        <f>SUM(E8:E11)</f>
        <v>0</v>
      </c>
      <c r="F12" s="41"/>
      <c r="G12" s="41"/>
      <c r="H12" s="41">
        <f>SUM(H8:H11)</f>
        <v>68692.12</v>
      </c>
      <c r="I12" s="41">
        <f>SUM(I8:I11)</f>
        <v>118633.30623999999</v>
      </c>
      <c r="J12" s="63">
        <f>+H12+I12</f>
        <v>187325.42624</v>
      </c>
    </row>
    <row r="13" spans="1:10" ht="15.75">
      <c r="A13" s="370" t="s">
        <v>105</v>
      </c>
      <c r="B13" s="361"/>
      <c r="C13" s="371"/>
      <c r="D13" s="371"/>
      <c r="E13" s="371"/>
      <c r="F13" s="371"/>
      <c r="G13" s="371"/>
      <c r="H13" s="371"/>
      <c r="I13" s="371"/>
      <c r="J13" s="372"/>
    </row>
    <row r="14" spans="1:10" ht="15.75">
      <c r="A14" s="316" t="s">
        <v>106</v>
      </c>
      <c r="B14" s="323" t="s">
        <v>107</v>
      </c>
      <c r="C14" s="324"/>
      <c r="D14" s="321" t="s">
        <v>108</v>
      </c>
      <c r="E14" s="322"/>
      <c r="F14" s="322"/>
      <c r="G14" s="322"/>
      <c r="H14" s="322"/>
      <c r="I14" s="322"/>
      <c r="J14" s="318" t="s">
        <v>109</v>
      </c>
    </row>
    <row r="15" spans="1:10" ht="15.75">
      <c r="A15" s="317"/>
      <c r="B15" s="325"/>
      <c r="C15" s="326"/>
      <c r="D15" s="44" t="s">
        <v>110</v>
      </c>
      <c r="E15" s="44" t="s">
        <v>111</v>
      </c>
      <c r="F15" s="187" t="s">
        <v>312</v>
      </c>
      <c r="G15" s="187" t="s">
        <v>313</v>
      </c>
      <c r="H15" s="44" t="s">
        <v>112</v>
      </c>
      <c r="I15" s="44" t="s">
        <v>113</v>
      </c>
      <c r="J15" s="319"/>
    </row>
    <row r="16" spans="1:10" ht="15.75">
      <c r="A16" s="59"/>
      <c r="B16" s="320" t="s">
        <v>114</v>
      </c>
      <c r="C16" s="320"/>
      <c r="D16" s="228">
        <f>'Bud-A&amp;B Pers Exp'!AL49</f>
        <v>34876.8</v>
      </c>
      <c r="E16" s="228">
        <f>F16+G16</f>
        <v>63049.08</v>
      </c>
      <c r="F16" s="228">
        <f>'Bud-A&amp;B Pers Exp'!AI53</f>
        <v>57236.28</v>
      </c>
      <c r="G16" s="228">
        <f>'Bud-A&amp;B Pers Exp'!AI76</f>
        <v>5812.8</v>
      </c>
      <c r="H16" s="228">
        <f>'Bud In-Kind'!D8</f>
        <v>1</v>
      </c>
      <c r="I16" s="228"/>
      <c r="J16" s="229">
        <f>+D16+E16+H16+I16</f>
        <v>97926.88</v>
      </c>
    </row>
    <row r="17" spans="1:10" ht="15.75">
      <c r="A17" s="65"/>
      <c r="B17" s="303" t="s">
        <v>115</v>
      </c>
      <c r="C17" s="303"/>
      <c r="D17" s="228">
        <f>'Bud-A&amp;B Pers Exp'!AQ49</f>
        <v>13950.72</v>
      </c>
      <c r="E17" s="228">
        <f aca="true" t="shared" si="0" ref="E17:E23">F17+G17</f>
        <v>16463.28</v>
      </c>
      <c r="F17" s="228">
        <f>'Bud-A&amp;B Pers Exp'!AI54</f>
        <v>14138.16</v>
      </c>
      <c r="G17" s="228">
        <f>'Bud-A&amp;B Pers Exp'!AI77</f>
        <v>2325.12</v>
      </c>
      <c r="H17" s="228">
        <f>'Bud In-Kind'!D15</f>
        <v>2</v>
      </c>
      <c r="I17" s="228"/>
      <c r="J17" s="229">
        <f aca="true" t="shared" si="1" ref="J17:J23">+D17+E17+H17+I17</f>
        <v>30416</v>
      </c>
    </row>
    <row r="18" spans="1:10" ht="15.75">
      <c r="A18" s="59"/>
      <c r="B18" s="320" t="s">
        <v>116</v>
      </c>
      <c r="C18" s="320"/>
      <c r="D18" s="228">
        <f>'Bud C Trav Exp'!Z23</f>
        <v>1654.2</v>
      </c>
      <c r="E18" s="228">
        <f t="shared" si="0"/>
        <v>1102.8000000000002</v>
      </c>
      <c r="F18" s="228">
        <f>'Bud C Trav Exp'!AF23</f>
        <v>551.4000000000001</v>
      </c>
      <c r="G18" s="228">
        <f>'Bud C Trav Exp'!AM23</f>
        <v>551.4000000000001</v>
      </c>
      <c r="H18" s="228">
        <f>'Bud In-Kind'!D22</f>
        <v>3</v>
      </c>
      <c r="I18" s="228"/>
      <c r="J18" s="229">
        <f t="shared" si="1"/>
        <v>2760</v>
      </c>
    </row>
    <row r="19" spans="1:10" ht="15.75">
      <c r="A19" s="65"/>
      <c r="B19" s="303" t="s">
        <v>117</v>
      </c>
      <c r="C19" s="303"/>
      <c r="D19" s="228">
        <f>'Bud D - H Other Exp'!Q11</f>
        <v>1200</v>
      </c>
      <c r="E19" s="228">
        <f t="shared" si="0"/>
        <v>700</v>
      </c>
      <c r="F19" s="228">
        <f>'Bud D - H Other Exp'!X11</f>
        <v>400</v>
      </c>
      <c r="G19" s="228">
        <f>'Bud D - H Other Exp'!AE11</f>
        <v>300</v>
      </c>
      <c r="H19" s="228">
        <f>'Bud In-Kind'!D29</f>
        <v>4</v>
      </c>
      <c r="I19" s="228"/>
      <c r="J19" s="229">
        <f t="shared" si="1"/>
        <v>1904</v>
      </c>
    </row>
    <row r="20" spans="1:10" ht="15.75">
      <c r="A20" s="59"/>
      <c r="B20" s="320" t="s">
        <v>118</v>
      </c>
      <c r="C20" s="320"/>
      <c r="D20" s="228">
        <f>'Bud D - H Other Exp'!Q22</f>
        <v>2268</v>
      </c>
      <c r="E20" s="228">
        <f t="shared" si="0"/>
        <v>1323</v>
      </c>
      <c r="F20" s="228">
        <f>'Bud D - H Other Exp'!X22</f>
        <v>756</v>
      </c>
      <c r="G20" s="228">
        <f>'Bud D - H Other Exp'!AE22</f>
        <v>567</v>
      </c>
      <c r="H20" s="228">
        <f>'Bud In-Kind'!D36</f>
        <v>8</v>
      </c>
      <c r="I20" s="228"/>
      <c r="J20" s="229">
        <f t="shared" si="1"/>
        <v>3599</v>
      </c>
    </row>
    <row r="21" spans="1:10" ht="15.75">
      <c r="A21" s="65"/>
      <c r="B21" s="303" t="s">
        <v>119</v>
      </c>
      <c r="C21" s="303"/>
      <c r="D21" s="228">
        <f>'Bud D - H Other Exp'!Q33</f>
        <v>60</v>
      </c>
      <c r="E21" s="228">
        <f t="shared" si="0"/>
        <v>35</v>
      </c>
      <c r="F21" s="228">
        <f>'Bud D - H Other Exp'!X33</f>
        <v>20</v>
      </c>
      <c r="G21" s="228">
        <f>'Bud D - H Other Exp'!AE33</f>
        <v>15</v>
      </c>
      <c r="H21" s="228">
        <f>'Bud In-Kind'!D43</f>
        <v>6</v>
      </c>
      <c r="I21" s="228"/>
      <c r="J21" s="229">
        <f t="shared" si="1"/>
        <v>101</v>
      </c>
    </row>
    <row r="22" spans="1:10" ht="15.75">
      <c r="A22" s="59"/>
      <c r="B22" s="320" t="s">
        <v>183</v>
      </c>
      <c r="C22" s="320"/>
      <c r="D22" s="228">
        <f>'Bud D - H Other Exp'!Q35</f>
        <v>0</v>
      </c>
      <c r="E22" s="228">
        <f t="shared" si="0"/>
        <v>0</v>
      </c>
      <c r="F22" s="228">
        <f>'Bud D - H Other Exp'!X35</f>
        <v>0</v>
      </c>
      <c r="G22" s="228">
        <f>'Bud D - H Other Exp'!AE35</f>
        <v>0</v>
      </c>
      <c r="H22" s="228">
        <f>'Bud In-Kind'!D45</f>
        <v>0</v>
      </c>
      <c r="I22" s="228"/>
      <c r="J22" s="229">
        <f t="shared" si="1"/>
        <v>0</v>
      </c>
    </row>
    <row r="23" spans="1:10" ht="15.75">
      <c r="A23" s="65"/>
      <c r="B23" s="303" t="s">
        <v>120</v>
      </c>
      <c r="C23" s="303"/>
      <c r="D23" s="228">
        <f>'Bud D - H Other Exp'!Q46</f>
        <v>1682.4</v>
      </c>
      <c r="E23" s="228">
        <f t="shared" si="0"/>
        <v>981.4</v>
      </c>
      <c r="F23" s="228">
        <f>'Bud D - H Other Exp'!X46</f>
        <v>560.8</v>
      </c>
      <c r="G23" s="228">
        <f>'Bud D - H Other Exp'!AE46</f>
        <v>420.6</v>
      </c>
      <c r="H23" s="228">
        <f>'Bud In-Kind'!D52</f>
        <v>7</v>
      </c>
      <c r="I23" s="228"/>
      <c r="J23" s="229">
        <f t="shared" si="1"/>
        <v>2670.8</v>
      </c>
    </row>
    <row r="24" spans="1:12" ht="15.75">
      <c r="A24" s="59"/>
      <c r="B24" s="303" t="s">
        <v>121</v>
      </c>
      <c r="C24" s="341"/>
      <c r="D24" s="229">
        <f>SUM(D16:D23)</f>
        <v>55692.12</v>
      </c>
      <c r="E24" s="229">
        <f aca="true" t="shared" si="2" ref="E24:J24">SUM(E16:E23)</f>
        <v>83654.56</v>
      </c>
      <c r="F24" s="229">
        <f t="shared" si="2"/>
        <v>73662.64</v>
      </c>
      <c r="G24" s="229">
        <f t="shared" si="2"/>
        <v>9991.92</v>
      </c>
      <c r="H24" s="229">
        <f t="shared" si="2"/>
        <v>31</v>
      </c>
      <c r="I24" s="229"/>
      <c r="J24" s="229">
        <f t="shared" si="2"/>
        <v>139377.68</v>
      </c>
      <c r="L24" s="23"/>
    </row>
    <row r="25" spans="1:12" ht="15.75">
      <c r="A25" s="65"/>
      <c r="B25" s="303" t="s">
        <v>122</v>
      </c>
      <c r="C25" s="303"/>
      <c r="D25" s="228">
        <f>+'Bud D - H Other Exp'!Q50</f>
        <v>13000</v>
      </c>
      <c r="E25" s="228">
        <f>F25+G25</f>
        <v>0</v>
      </c>
      <c r="F25" s="228">
        <f>'Bud D - H Other Exp'!X50</f>
        <v>0</v>
      </c>
      <c r="G25" s="228">
        <f>'Bud D - H Other Exp'!AE50</f>
        <v>0</v>
      </c>
      <c r="H25" s="228">
        <v>0</v>
      </c>
      <c r="I25" s="230">
        <f>'Bud Indir Exp '!D19</f>
        <v>34947.74623999999</v>
      </c>
      <c r="J25" s="229">
        <f>+D25+E25+H25+I25</f>
        <v>47947.74623999999</v>
      </c>
      <c r="L25" s="227"/>
    </row>
    <row r="26" spans="1:12" ht="15.75">
      <c r="A26" s="59"/>
      <c r="B26" s="320" t="s">
        <v>123</v>
      </c>
      <c r="C26" s="320"/>
      <c r="D26" s="229">
        <f>+D24+D25</f>
        <v>68692.12</v>
      </c>
      <c r="E26" s="229">
        <f aca="true" t="shared" si="3" ref="E26:J26">+E24+E25</f>
        <v>83654.56</v>
      </c>
      <c r="F26" s="229">
        <f t="shared" si="3"/>
        <v>73662.64</v>
      </c>
      <c r="G26" s="229">
        <f t="shared" si="3"/>
        <v>9991.92</v>
      </c>
      <c r="H26" s="229">
        <f t="shared" si="3"/>
        <v>31</v>
      </c>
      <c r="I26" s="229">
        <f t="shared" si="3"/>
        <v>34947.74623999999</v>
      </c>
      <c r="J26" s="229">
        <f t="shared" si="3"/>
        <v>187325.42624</v>
      </c>
      <c r="L26" s="250" t="str">
        <f>IF(ROUND(J26-'Bud-A&amp;B Pers Exp'!AI32-'Bud-A&amp;B Pers Exp'!AI55-'Bud-A&amp;B Pers Exp'!AI78-'Bud C Trav Exp'!Z23-'Bud C Trav Exp'!AF23-'Bud C Trav Exp'!AM23-'Bud D - H Other Exp'!Q11-'Bud D - H Other Exp'!X11-'Bud D - H Other Exp'!AE11-'Bud D - H Other Exp'!Q22-'Bud D - H Other Exp'!X22-'Bud D - H Other Exp'!AE22-'Bud D - H Other Exp'!AE33-'Bud D - H Other Exp'!X33-'Bud D - H Other Exp'!Q33-'Bud D - H Other Exp'!Q35-'Bud D - H Other Exp'!X35-'Bud D - H Other Exp'!AE35-'Bud D - H Other Exp'!Q46-'Bud D - H Other Exp'!X46-'Bud D - H Other Exp'!AE46-'Bud In-Kind'!F54-'Bud Indir Exp '!D19-'Bud D - H Other Exp'!D50,2)=0,"OK","ERROR!!!!!!")</f>
        <v>OK</v>
      </c>
    </row>
    <row r="27" spans="1:10" ht="15.75">
      <c r="A27" s="331"/>
      <c r="B27" s="304"/>
      <c r="C27" s="304"/>
      <c r="D27" s="304"/>
      <c r="E27" s="304"/>
      <c r="F27" s="304"/>
      <c r="G27" s="304"/>
      <c r="H27" s="304"/>
      <c r="I27" s="304"/>
      <c r="J27" s="305"/>
    </row>
    <row r="28" spans="1:10" ht="15.75">
      <c r="A28" s="66" t="s">
        <v>124</v>
      </c>
      <c r="B28" s="303" t="s">
        <v>125</v>
      </c>
      <c r="C28" s="303"/>
      <c r="D28" s="43"/>
      <c r="E28" s="43"/>
      <c r="F28" s="43"/>
      <c r="G28" s="43"/>
      <c r="H28" s="43"/>
      <c r="I28" s="43"/>
      <c r="J28" s="40">
        <f>+'Prog Inc Est'!N92</f>
        <v>1000</v>
      </c>
    </row>
    <row r="29" spans="1:10" ht="16.5">
      <c r="A29" s="32"/>
      <c r="B29" s="27"/>
      <c r="C29" s="27"/>
      <c r="D29" s="33"/>
      <c r="E29" s="33"/>
      <c r="F29" s="33"/>
      <c r="G29" s="33"/>
      <c r="H29" s="33"/>
      <c r="I29" s="33"/>
      <c r="J29" s="33"/>
    </row>
    <row r="30" spans="1:10" ht="15.75">
      <c r="A30" s="24"/>
      <c r="B30" s="24"/>
      <c r="C30" s="24"/>
      <c r="D30" s="24"/>
      <c r="E30" s="48"/>
      <c r="F30" s="48"/>
      <c r="G30" s="48"/>
      <c r="H30" s="24"/>
      <c r="I30" s="385" t="s">
        <v>126</v>
      </c>
      <c r="J30" s="385"/>
    </row>
    <row r="31" spans="1:10" ht="15.75">
      <c r="A31" s="302" t="s">
        <v>127</v>
      </c>
      <c r="B31" s="302"/>
      <c r="C31" s="329"/>
      <c r="D31" s="330"/>
      <c r="E31" s="330"/>
      <c r="F31" s="330"/>
      <c r="G31" s="330"/>
      <c r="H31" s="330"/>
      <c r="I31" s="327" t="s">
        <v>128</v>
      </c>
      <c r="J31" s="328"/>
    </row>
    <row r="32" spans="1:10" ht="15.75">
      <c r="A32" s="329" t="s">
        <v>129</v>
      </c>
      <c r="B32" s="339"/>
      <c r="C32" s="339"/>
      <c r="D32" s="339"/>
      <c r="E32" s="339"/>
      <c r="F32" s="339"/>
      <c r="G32" s="339"/>
      <c r="H32" s="339"/>
      <c r="I32" s="339"/>
      <c r="J32" s="340"/>
    </row>
    <row r="33" spans="1:10" ht="15.75">
      <c r="A33" s="306" t="s">
        <v>130</v>
      </c>
      <c r="B33" s="307"/>
      <c r="C33" s="307"/>
      <c r="D33" s="304"/>
      <c r="E33" s="304"/>
      <c r="F33" s="304"/>
      <c r="G33" s="304"/>
      <c r="H33" s="304"/>
      <c r="I33" s="304"/>
      <c r="J33" s="305"/>
    </row>
    <row r="34" spans="1:10" ht="15.75">
      <c r="A34" s="80"/>
      <c r="B34" s="378" t="s">
        <v>131</v>
      </c>
      <c r="C34" s="378"/>
      <c r="D34" s="378"/>
      <c r="E34" s="28" t="s">
        <v>132</v>
      </c>
      <c r="F34" s="310"/>
      <c r="G34" s="311"/>
      <c r="H34" s="28" t="s">
        <v>133</v>
      </c>
      <c r="I34" s="28" t="s">
        <v>134</v>
      </c>
      <c r="J34" s="28" t="s">
        <v>135</v>
      </c>
    </row>
    <row r="35" spans="1:10" ht="15.75">
      <c r="A35" s="66" t="s">
        <v>136</v>
      </c>
      <c r="B35" s="301" t="s">
        <v>137</v>
      </c>
      <c r="C35" s="301"/>
      <c r="D35" s="301"/>
      <c r="E35" s="42">
        <v>0</v>
      </c>
      <c r="F35" s="312"/>
      <c r="G35" s="313"/>
      <c r="H35" s="42">
        <f>+E26+H26+I26</f>
        <v>118633.30623999999</v>
      </c>
      <c r="I35" s="42">
        <v>0</v>
      </c>
      <c r="J35" s="40">
        <f>SUM(E35:I35)</f>
        <v>118633.30623999999</v>
      </c>
    </row>
    <row r="36" spans="1:10" ht="15.75">
      <c r="A36" s="66" t="s">
        <v>138</v>
      </c>
      <c r="B36" s="301"/>
      <c r="C36" s="301"/>
      <c r="D36" s="301"/>
      <c r="E36" s="42"/>
      <c r="F36" s="312"/>
      <c r="G36" s="313"/>
      <c r="H36" s="42"/>
      <c r="I36" s="42"/>
      <c r="J36" s="40">
        <v>0</v>
      </c>
    </row>
    <row r="37" spans="1:10" ht="15.75">
      <c r="A37" s="66" t="s">
        <v>139</v>
      </c>
      <c r="B37" s="301"/>
      <c r="C37" s="301"/>
      <c r="D37" s="301"/>
      <c r="E37" s="42"/>
      <c r="F37" s="312"/>
      <c r="G37" s="313"/>
      <c r="H37" s="42"/>
      <c r="I37" s="42"/>
      <c r="J37" s="40">
        <v>0</v>
      </c>
    </row>
    <row r="38" spans="1:10" ht="15.75">
      <c r="A38" s="66" t="s">
        <v>140</v>
      </c>
      <c r="B38" s="301"/>
      <c r="C38" s="301"/>
      <c r="D38" s="301"/>
      <c r="E38" s="42"/>
      <c r="F38" s="312"/>
      <c r="G38" s="313"/>
      <c r="H38" s="42"/>
      <c r="I38" s="42"/>
      <c r="J38" s="40">
        <v>0</v>
      </c>
    </row>
    <row r="39" spans="1:10" ht="15.75">
      <c r="A39" s="81" t="s">
        <v>141</v>
      </c>
      <c r="B39" s="360" t="s">
        <v>142</v>
      </c>
      <c r="C39" s="333"/>
      <c r="D39" s="333"/>
      <c r="E39" s="41">
        <f>SUM(E35:E38)</f>
        <v>0</v>
      </c>
      <c r="F39" s="314"/>
      <c r="G39" s="315"/>
      <c r="H39" s="41">
        <f>SUM(H35:H38)</f>
        <v>118633.30623999999</v>
      </c>
      <c r="I39" s="41">
        <f>SUM(I35:I38)</f>
        <v>0</v>
      </c>
      <c r="J39" s="41">
        <f>SUM(J35:J38)</f>
        <v>118633.30623999999</v>
      </c>
    </row>
    <row r="40" spans="1:10" ht="15.75">
      <c r="A40" s="306" t="s">
        <v>143</v>
      </c>
      <c r="B40" s="307"/>
      <c r="C40" s="307"/>
      <c r="D40" s="304"/>
      <c r="E40" s="375"/>
      <c r="F40" s="375"/>
      <c r="G40" s="375"/>
      <c r="H40" s="375"/>
      <c r="I40" s="375"/>
      <c r="J40" s="376"/>
    </row>
    <row r="41" spans="1:10" ht="15.75">
      <c r="A41" s="332"/>
      <c r="B41" s="333"/>
      <c r="C41" s="334"/>
      <c r="D41" s="28" t="s">
        <v>144</v>
      </c>
      <c r="E41" s="28" t="s">
        <v>145</v>
      </c>
      <c r="F41" s="310"/>
      <c r="G41" s="311"/>
      <c r="H41" s="28" t="s">
        <v>146</v>
      </c>
      <c r="I41" s="28" t="s">
        <v>147</v>
      </c>
      <c r="J41" s="28" t="s">
        <v>148</v>
      </c>
    </row>
    <row r="42" spans="1:15" ht="15.75">
      <c r="A42" s="66" t="s">
        <v>149</v>
      </c>
      <c r="B42" s="219" t="s">
        <v>88</v>
      </c>
      <c r="C42" s="225">
        <f>IF(D42=D26,"","ERROR---&gt;")</f>
      </c>
      <c r="D42" s="40">
        <f>SUM(E42:J42)</f>
        <v>68692.12000000001</v>
      </c>
      <c r="E42" s="42">
        <f>'Bud-A&amp;B Pers Exp'!AJ30+'Bud-A&amp;B Pers Exp'!AJ31+'Bud C Trav Exp'!AA23+'Bud D - H Other Exp'!R11+'Bud D - H Other Exp'!R22+'Bud D - H Other Exp'!R33+'Bud D - H Other Exp'!R35+'Bud D - H Other Exp'!R46+'Bud D - H Other Exp'!R50</f>
        <v>21302.88</v>
      </c>
      <c r="F42" s="312"/>
      <c r="G42" s="313"/>
      <c r="H42" s="42">
        <f>'Bud-A&amp;B Pers Exp'!AK30+'Bud-A&amp;B Pers Exp'!AK31+'Bud C Trav Exp'!AB23+'Bud D - H Other Exp'!S11+'Bud D - H Other Exp'!S22+'Bud D - H Other Exp'!S33+'Bud D - H Other Exp'!S35+'Bud D - H Other Exp'!S46+'Bud D - H Other Exp'!S50</f>
        <v>13884.880000000001</v>
      </c>
      <c r="I42" s="42">
        <f>'Bud-A&amp;B Pers Exp'!AL30+'Bud-A&amp;B Pers Exp'!AL31+'Bud C Trav Exp'!AC23+'Bud D - H Other Exp'!T11+'Bud D - H Other Exp'!T22+'Bud D - H Other Exp'!T33+'Bud D - H Other Exp'!T35+'Bud D - H Other Exp'!T46+'Bud D - H Other Exp'!T50</f>
        <v>20521.08</v>
      </c>
      <c r="J42" s="42">
        <f>'Bud-A&amp;B Pers Exp'!AM30+'Bud-A&amp;B Pers Exp'!AM31+'Bud C Trav Exp'!AD23+'Bud D - H Other Exp'!U11+'Bud D - H Other Exp'!U22+'Bud D - H Other Exp'!U33+'Bud D - H Other Exp'!U35+'Bud D - H Other Exp'!U46+'Bud D - H Other Exp'!U50</f>
        <v>12983.28</v>
      </c>
      <c r="M42" s="23"/>
      <c r="N42" s="23"/>
      <c r="O42" s="23"/>
    </row>
    <row r="43" spans="1:12" ht="15.75">
      <c r="A43" s="66" t="s">
        <v>150</v>
      </c>
      <c r="B43" s="219" t="s">
        <v>89</v>
      </c>
      <c r="C43" s="226">
        <f>IF(D43=E26,"","ERROR---&gt;")</f>
      </c>
      <c r="D43" s="40">
        <f>SUM(E43:J43)</f>
        <v>83654.56</v>
      </c>
      <c r="E43" s="42">
        <f>'Bud-A&amp;B Pers Exp'!AJ53+'Bud-A&amp;B Pers Exp'!AJ54+'Bud-A&amp;B Pers Exp'!AJ76+'Bud-A&amp;B Pers Exp'!AJ77+'Bud C Trav Exp'!AG23+'Bud C Trav Exp'!AN23+'Bud D - H Other Exp'!Y11+'Bud D - H Other Exp'!Y22+'Bud D - H Other Exp'!Y33+'Bud D - H Other Exp'!Y35+'Bud D - H Other Exp'!Y46+'Bud D - H Other Exp'!Y50+'Bud D - H Other Exp'!AF50+'Bud D - H Other Exp'!AF46+'Bud D - H Other Exp'!AF35+'Bud D - H Other Exp'!AF33+'Bud D - H Other Exp'!AF22+'Bud D - H Other Exp'!AF11</f>
        <v>21428.49</v>
      </c>
      <c r="F43" s="312"/>
      <c r="G43" s="313"/>
      <c r="H43" s="42">
        <f>'Bud-A&amp;B Pers Exp'!AK53+'Bud-A&amp;B Pers Exp'!AK54+'Bud-A&amp;B Pers Exp'!AK76+'Bud-A&amp;B Pers Exp'!AK77+'Bud C Trav Exp'!AH23+'Bud C Trav Exp'!AO23+'Bud D - H Other Exp'!Z11+'Bud D - H Other Exp'!Z22+'Bud D - H Other Exp'!Z33+'Bud D - H Other Exp'!Z35+'Bud D - H Other Exp'!Z46+'Bud D - H Other Exp'!Z50+'Bud D - H Other Exp'!AG50+'Bud D - H Other Exp'!AG46+'Bud D - H Other Exp'!AG35+'Bud D - H Other Exp'!AG33+'Bud D - H Other Exp'!AG22+'Bud D - H Other Exp'!AG11</f>
        <v>20861.49</v>
      </c>
      <c r="I43" s="42">
        <f>'Bud-A&amp;B Pers Exp'!AL53+'Bud-A&amp;B Pers Exp'!AL54+'Bud-A&amp;B Pers Exp'!AL76+'Bud-A&amp;B Pers Exp'!AL77+'Bud C Trav Exp'!AI23+'Bud C Trav Exp'!AP23+'Bud D - H Other Exp'!AA11+'Bud D - H Other Exp'!AA22+'Bud D - H Other Exp'!AA33+'Bud D - H Other Exp'!AA35+'Bud D - H Other Exp'!AA46+'Bud D - H Other Exp'!AA50+'Bud D - H Other Exp'!AH50+'Bud D - H Other Exp'!AH46+'Bud D - H Other Exp'!AH35+'Bud D - H Other Exp'!AH33+'Bud D - H Other Exp'!AH22+'Bud D - H Other Exp'!AH11</f>
        <v>21027.290000000005</v>
      </c>
      <c r="J43" s="42">
        <f>'Bud-A&amp;B Pers Exp'!AM53+'Bud-A&amp;B Pers Exp'!AM54+'Bud-A&amp;B Pers Exp'!AM76+'Bud-A&amp;B Pers Exp'!AM77+'Bud C Trav Exp'!AJ23+'Bud C Trav Exp'!AQ23+'Bud D - H Other Exp'!AB11+'Bud D - H Other Exp'!AB22+'Bud D - H Other Exp'!AB33+'Bud D - H Other Exp'!AB35+'Bud D - H Other Exp'!AB46+'Bud D - H Other Exp'!AB50+'Bud D - H Other Exp'!AI50+'Bud D - H Other Exp'!AI46+'Bud D - H Other Exp'!AI35+'Bud D - H Other Exp'!AI33+'Bud D - H Other Exp'!AI22+'Bud D - H Other Exp'!AI11</f>
        <v>20337.29</v>
      </c>
      <c r="L43" s="227"/>
    </row>
    <row r="44" spans="1:10" ht="15.75">
      <c r="A44" s="66" t="s">
        <v>151</v>
      </c>
      <c r="B44" s="308" t="s">
        <v>152</v>
      </c>
      <c r="C44" s="303"/>
      <c r="D44" s="40">
        <f>+D42+D43</f>
        <v>152346.68</v>
      </c>
      <c r="E44" s="40">
        <f>+E42+E43</f>
        <v>42731.37</v>
      </c>
      <c r="F44" s="314"/>
      <c r="G44" s="315"/>
      <c r="H44" s="40">
        <f>+H42+H43</f>
        <v>34746.37</v>
      </c>
      <c r="I44" s="40">
        <f>+I42+I43</f>
        <v>41548.37000000001</v>
      </c>
      <c r="J44" s="40">
        <f>+J42+J43</f>
        <v>33320.57</v>
      </c>
    </row>
    <row r="45" spans="1:10" ht="15.75">
      <c r="A45" s="306" t="s">
        <v>153</v>
      </c>
      <c r="B45" s="307"/>
      <c r="C45" s="307"/>
      <c r="D45" s="307"/>
      <c r="E45" s="304"/>
      <c r="F45" s="304"/>
      <c r="G45" s="304"/>
      <c r="H45" s="304"/>
      <c r="I45" s="304"/>
      <c r="J45" s="305"/>
    </row>
    <row r="46" spans="1:10" ht="15.75">
      <c r="A46" s="355" t="s">
        <v>131</v>
      </c>
      <c r="B46" s="356"/>
      <c r="C46" s="356"/>
      <c r="D46" s="356"/>
      <c r="E46" s="321" t="s">
        <v>154</v>
      </c>
      <c r="F46" s="361"/>
      <c r="G46" s="361"/>
      <c r="H46" s="337"/>
      <c r="I46" s="337"/>
      <c r="J46" s="362"/>
    </row>
    <row r="47" spans="1:10" ht="15.75">
      <c r="A47" s="357"/>
      <c r="B47" s="358"/>
      <c r="C47" s="358"/>
      <c r="D47" s="358"/>
      <c r="E47" s="37" t="s">
        <v>155</v>
      </c>
      <c r="F47" s="310"/>
      <c r="G47" s="311"/>
      <c r="H47" s="188" t="s">
        <v>156</v>
      </c>
      <c r="I47" s="37" t="s">
        <v>157</v>
      </c>
      <c r="J47" s="82" t="s">
        <v>158</v>
      </c>
    </row>
    <row r="48" spans="1:10" ht="15.75">
      <c r="A48" s="66" t="s">
        <v>159</v>
      </c>
      <c r="B48" s="301"/>
      <c r="C48" s="301"/>
      <c r="D48" s="354"/>
      <c r="E48" s="43">
        <v>0</v>
      </c>
      <c r="F48" s="312"/>
      <c r="G48" s="313"/>
      <c r="H48" s="43">
        <v>0</v>
      </c>
      <c r="I48" s="43">
        <v>0</v>
      </c>
      <c r="J48" s="43">
        <v>0</v>
      </c>
    </row>
    <row r="49" spans="1:10" ht="15.75">
      <c r="A49" s="66" t="s">
        <v>160</v>
      </c>
      <c r="B49" s="301"/>
      <c r="C49" s="301"/>
      <c r="D49" s="354"/>
      <c r="E49" s="43">
        <v>0</v>
      </c>
      <c r="F49" s="312"/>
      <c r="G49" s="313"/>
      <c r="H49" s="43">
        <v>0</v>
      </c>
      <c r="I49" s="43">
        <v>0</v>
      </c>
      <c r="J49" s="43">
        <v>0</v>
      </c>
    </row>
    <row r="50" spans="1:10" ht="15.75">
      <c r="A50" s="66" t="s">
        <v>161</v>
      </c>
      <c r="B50" s="301"/>
      <c r="C50" s="301"/>
      <c r="D50" s="354"/>
      <c r="E50" s="43">
        <v>0</v>
      </c>
      <c r="F50" s="312"/>
      <c r="G50" s="313"/>
      <c r="H50" s="43">
        <v>0</v>
      </c>
      <c r="I50" s="43">
        <v>0</v>
      </c>
      <c r="J50" s="43">
        <v>0</v>
      </c>
    </row>
    <row r="51" spans="1:10" ht="15.75">
      <c r="A51" s="66" t="s">
        <v>162</v>
      </c>
      <c r="B51" s="301"/>
      <c r="C51" s="301"/>
      <c r="D51" s="354"/>
      <c r="E51" s="43">
        <v>0</v>
      </c>
      <c r="F51" s="312"/>
      <c r="G51" s="313"/>
      <c r="H51" s="43">
        <v>0</v>
      </c>
      <c r="I51" s="43">
        <v>0</v>
      </c>
      <c r="J51" s="43">
        <v>0</v>
      </c>
    </row>
    <row r="52" spans="1:10" ht="15.75">
      <c r="A52" s="66" t="s">
        <v>163</v>
      </c>
      <c r="B52" s="308" t="s">
        <v>164</v>
      </c>
      <c r="C52" s="303"/>
      <c r="D52" s="303"/>
      <c r="E52" s="39">
        <v>0</v>
      </c>
      <c r="F52" s="314"/>
      <c r="G52" s="315"/>
      <c r="H52" s="191">
        <v>0</v>
      </c>
      <c r="I52" s="39">
        <v>0</v>
      </c>
      <c r="J52" s="40">
        <v>0</v>
      </c>
    </row>
    <row r="53" spans="1:10" ht="15.75">
      <c r="A53" s="359" t="s">
        <v>165</v>
      </c>
      <c r="B53" s="360"/>
      <c r="C53" s="325"/>
      <c r="D53" s="352"/>
      <c r="E53" s="352"/>
      <c r="F53" s="352"/>
      <c r="G53" s="352"/>
      <c r="H53" s="352"/>
      <c r="I53" s="352"/>
      <c r="J53" s="353"/>
    </row>
    <row r="54" spans="1:10" ht="15.75">
      <c r="A54" s="36" t="s">
        <v>166</v>
      </c>
      <c r="B54" s="36"/>
      <c r="C54" s="349"/>
      <c r="D54" s="366"/>
      <c r="E54" s="38" t="s">
        <v>167</v>
      </c>
      <c r="F54" s="36"/>
      <c r="G54" s="36"/>
      <c r="H54" s="349"/>
      <c r="I54" s="349"/>
      <c r="J54" s="349"/>
    </row>
    <row r="55" spans="1:10" ht="15.75">
      <c r="A55" s="347"/>
      <c r="B55" s="347"/>
      <c r="C55" s="347"/>
      <c r="D55" s="348"/>
      <c r="E55" s="350"/>
      <c r="F55" s="351"/>
      <c r="G55" s="351"/>
      <c r="H55" s="347"/>
      <c r="I55" s="347"/>
      <c r="J55" s="347"/>
    </row>
    <row r="56" spans="1:10" ht="15.75">
      <c r="A56" s="36" t="s">
        <v>168</v>
      </c>
      <c r="B56" s="36"/>
      <c r="C56" s="335"/>
      <c r="D56" s="335"/>
      <c r="E56" s="335"/>
      <c r="F56" s="335"/>
      <c r="G56" s="335"/>
      <c r="H56" s="335"/>
      <c r="I56" s="335"/>
      <c r="J56" s="335"/>
    </row>
    <row r="57" spans="1:10" ht="15.75">
      <c r="A57" s="363"/>
      <c r="B57" s="363"/>
      <c r="C57" s="363"/>
      <c r="D57" s="363"/>
      <c r="E57" s="363"/>
      <c r="F57" s="363"/>
      <c r="G57" s="363"/>
      <c r="H57" s="363"/>
      <c r="I57" s="363"/>
      <c r="J57" s="363"/>
    </row>
    <row r="58" spans="1:10" ht="15.75">
      <c r="A58" s="363"/>
      <c r="B58" s="363"/>
      <c r="C58" s="363"/>
      <c r="D58" s="363"/>
      <c r="E58" s="363"/>
      <c r="F58" s="363"/>
      <c r="G58" s="363"/>
      <c r="H58" s="363"/>
      <c r="I58" s="363"/>
      <c r="J58" s="364"/>
    </row>
    <row r="59" spans="1:10" ht="15.75">
      <c r="A59" s="373"/>
      <c r="B59" s="373"/>
      <c r="C59" s="373"/>
      <c r="D59" s="373"/>
      <c r="E59" s="373"/>
      <c r="F59" s="373"/>
      <c r="G59" s="373"/>
      <c r="H59" s="373"/>
      <c r="I59" s="373"/>
      <c r="J59" s="374"/>
    </row>
    <row r="60" spans="1:10" ht="15.75">
      <c r="A60" s="24"/>
      <c r="B60" s="24"/>
      <c r="C60" s="329"/>
      <c r="D60" s="365"/>
      <c r="E60" s="365"/>
      <c r="F60" s="365"/>
      <c r="G60" s="365"/>
      <c r="H60" s="365"/>
      <c r="I60" s="365"/>
      <c r="J60" s="79" t="s">
        <v>186</v>
      </c>
    </row>
    <row r="61" spans="1:10" ht="15.75">
      <c r="A61" s="342" t="s">
        <v>127</v>
      </c>
      <c r="B61" s="342"/>
      <c r="C61" s="31" t="s">
        <v>169</v>
      </c>
      <c r="D61" s="26"/>
      <c r="E61" s="26"/>
      <c r="F61" s="26"/>
      <c r="G61" s="26"/>
      <c r="H61" s="26"/>
      <c r="I61" s="26"/>
      <c r="J61" s="30" t="s">
        <v>128</v>
      </c>
    </row>
    <row r="62" spans="1:10" ht="15.75">
      <c r="A62" s="24"/>
      <c r="B62" s="24"/>
      <c r="C62" s="329" t="s">
        <v>129</v>
      </c>
      <c r="D62" s="365"/>
      <c r="E62" s="365"/>
      <c r="F62" s="365"/>
      <c r="G62" s="365"/>
      <c r="H62" s="365"/>
      <c r="I62" s="365"/>
      <c r="J62" s="24"/>
    </row>
    <row r="64" ht="21">
      <c r="A64" s="20" t="s">
        <v>328</v>
      </c>
    </row>
    <row r="65" ht="15.75">
      <c r="A65" s="237" t="s">
        <v>341</v>
      </c>
    </row>
    <row r="66" spans="1:10" s="1" customFormat="1" ht="32.25" thickBot="1">
      <c r="A66" s="54"/>
      <c r="B66" s="54" t="s">
        <v>329</v>
      </c>
      <c r="C66" s="54" t="s">
        <v>0</v>
      </c>
      <c r="D66" s="54" t="s">
        <v>332</v>
      </c>
      <c r="E66" s="54" t="s">
        <v>330</v>
      </c>
      <c r="F66" s="54" t="s">
        <v>88</v>
      </c>
      <c r="G66" s="54" t="s">
        <v>309</v>
      </c>
      <c r="H66" s="54" t="s">
        <v>314</v>
      </c>
      <c r="I66" s="54" t="s">
        <v>331</v>
      </c>
      <c r="J66" s="247" t="s">
        <v>59</v>
      </c>
    </row>
    <row r="67" spans="1:10" ht="15.75">
      <c r="A67" s="235">
        <v>1</v>
      </c>
      <c r="B67" s="23" t="str">
        <f>IF('Bud-A&amp;B Pers Exp'!B11="","",'Bud-A&amp;B Pers Exp'!B11)</f>
        <v>Test 1</v>
      </c>
      <c r="C67" s="23" t="str">
        <f>IF('Bud-A&amp;B Pers Exp'!D11="","",'Bud-A&amp;B Pers Exp'!D11)</f>
        <v>Director</v>
      </c>
      <c r="D67" s="23" t="str">
        <f>IF('Bud-A&amp;B Pers Exp'!E11="","",'Bud-A&amp;B Pers Exp'!E11)</f>
        <v>Full-time</v>
      </c>
      <c r="E67" s="234">
        <f>'Bud-A&amp;B Pers Exp'!AL11</f>
        <v>58128</v>
      </c>
      <c r="F67" s="234">
        <f>'Bud-A&amp;B Pers Exp'!AL34</f>
        <v>34876.8</v>
      </c>
      <c r="G67" s="234">
        <f>'Bud-A&amp;B Pers Exp'!AL57</f>
        <v>17438.4</v>
      </c>
      <c r="H67" s="234">
        <f>'Bud-A&amp;B Pers Exp'!AL80</f>
        <v>5812.8</v>
      </c>
      <c r="I67" s="234">
        <f>'Bud-A&amp;B Pers Exp'!AL103</f>
        <v>0</v>
      </c>
      <c r="J67" s="248">
        <f>E67-SUM(F67:I67)</f>
        <v>0</v>
      </c>
    </row>
    <row r="68" spans="1:10" ht="15.75">
      <c r="A68" s="235">
        <v>2</v>
      </c>
      <c r="B68" s="23" t="str">
        <f>IF('Bud-A&amp;B Pers Exp'!B12="","",'Bud-A&amp;B Pers Exp'!B12)</f>
        <v>Test 2</v>
      </c>
      <c r="C68" s="23" t="str">
        <f>IF('Bud-A&amp;B Pers Exp'!D12="","",'Bud-A&amp;B Pers Exp'!D12)</f>
        <v>Asst Director</v>
      </c>
      <c r="D68" s="23" t="str">
        <f>IF('Bud-A&amp;B Pers Exp'!E12="","",'Bud-A&amp;B Pers Exp'!E12)</f>
        <v>Full-time</v>
      </c>
      <c r="E68" s="234">
        <f>'Bud-A&amp;B Pers Exp'!AL12</f>
        <v>12000</v>
      </c>
      <c r="F68" s="234">
        <f>'Bud-A&amp;B Pers Exp'!AL35</f>
        <v>0</v>
      </c>
      <c r="G68" s="234">
        <f>'Bud-A&amp;B Pers Exp'!AL58</f>
        <v>12000</v>
      </c>
      <c r="H68" s="234">
        <f>'Bud-A&amp;B Pers Exp'!AL81</f>
        <v>0</v>
      </c>
      <c r="I68" s="234">
        <f>'Bud-A&amp;B Pers Exp'!AL104</f>
        <v>0</v>
      </c>
      <c r="J68" s="248">
        <f aca="true" t="shared" si="4" ref="J68:J82">E68-SUM(F68:I68)</f>
        <v>0</v>
      </c>
    </row>
    <row r="69" spans="1:10" ht="15.75">
      <c r="A69" s="235">
        <v>3</v>
      </c>
      <c r="B69" s="23" t="str">
        <f>IF('Bud-A&amp;B Pers Exp'!B13="","",'Bud-A&amp;B Pers Exp'!B13)</f>
        <v>Test 3</v>
      </c>
      <c r="C69" s="23" t="str">
        <f>IF('Bud-A&amp;B Pers Exp'!D13="","",'Bud-A&amp;B Pers Exp'!D13)</f>
        <v>Counselor</v>
      </c>
      <c r="D69" s="23" t="str">
        <f>IF('Bud-A&amp;B Pers Exp'!E13="","",'Bud-A&amp;B Pers Exp'!E13)</f>
        <v>Part-time</v>
      </c>
      <c r="E69" s="234">
        <f>'Bud-A&amp;B Pers Exp'!AL13</f>
        <v>7999.44</v>
      </c>
      <c r="F69" s="234">
        <f>'Bud-A&amp;B Pers Exp'!AL36</f>
        <v>0</v>
      </c>
      <c r="G69" s="234">
        <f>'Bud-A&amp;B Pers Exp'!AL59</f>
        <v>7999.44</v>
      </c>
      <c r="H69" s="234">
        <f>'Bud-A&amp;B Pers Exp'!AL82</f>
        <v>0</v>
      </c>
      <c r="I69" s="234">
        <f>'Bud-A&amp;B Pers Exp'!AL105</f>
        <v>0</v>
      </c>
      <c r="J69" s="248">
        <f t="shared" si="4"/>
        <v>0</v>
      </c>
    </row>
    <row r="70" spans="1:10" ht="15.75">
      <c r="A70" s="235">
        <v>4</v>
      </c>
      <c r="B70" s="23" t="str">
        <f>IF('Bud-A&amp;B Pers Exp'!B14="","",'Bud-A&amp;B Pers Exp'!B14)</f>
        <v>Test 4</v>
      </c>
      <c r="C70" s="23" t="str">
        <f>IF('Bud-A&amp;B Pers Exp'!D14="","",'Bud-A&amp;B Pers Exp'!D14)</f>
        <v>Trainer</v>
      </c>
      <c r="D70" s="23" t="str">
        <f>IF('Bud-A&amp;B Pers Exp'!E14="","",'Bud-A&amp;B Pers Exp'!E14)</f>
        <v>Part-time</v>
      </c>
      <c r="E70" s="234">
        <f>'Bud-A&amp;B Pers Exp'!AL14</f>
        <v>14998.8</v>
      </c>
      <c r="F70" s="234">
        <f>'Bud-A&amp;B Pers Exp'!AL37</f>
        <v>0</v>
      </c>
      <c r="G70" s="234">
        <f>'Bud-A&amp;B Pers Exp'!AL60</f>
        <v>14998.8</v>
      </c>
      <c r="H70" s="234">
        <f>'Bud-A&amp;B Pers Exp'!AL83</f>
        <v>0</v>
      </c>
      <c r="I70" s="234">
        <f>'Bud-A&amp;B Pers Exp'!AL106</f>
        <v>0</v>
      </c>
      <c r="J70" s="248">
        <f t="shared" si="4"/>
        <v>0</v>
      </c>
    </row>
    <row r="71" spans="1:10" ht="15.75">
      <c r="A71" s="235">
        <v>5</v>
      </c>
      <c r="B71" s="23" t="str">
        <f>IF('Bud-A&amp;B Pers Exp'!B15="","",'Bud-A&amp;B Pers Exp'!B15)</f>
        <v>Test 5</v>
      </c>
      <c r="C71" s="23" t="str">
        <f>IF('Bud-A&amp;B Pers Exp'!D15="","",'Bud-A&amp;B Pers Exp'!D15)</f>
        <v>Trainer</v>
      </c>
      <c r="D71" s="23" t="str">
        <f>IF('Bud-A&amp;B Pers Exp'!E15="","",'Bud-A&amp;B Pers Exp'!E15)</f>
        <v>Part-time</v>
      </c>
      <c r="E71" s="234">
        <f>'Bud-A&amp;B Pers Exp'!AL15</f>
        <v>4799.64</v>
      </c>
      <c r="F71" s="234">
        <f>'Bud-A&amp;B Pers Exp'!AL38</f>
        <v>0</v>
      </c>
      <c r="G71" s="234">
        <f>'Bud-A&amp;B Pers Exp'!AL61</f>
        <v>4799.64</v>
      </c>
      <c r="H71" s="234">
        <f>'Bud-A&amp;B Pers Exp'!AL84</f>
        <v>0</v>
      </c>
      <c r="I71" s="234">
        <f>'Bud-A&amp;B Pers Exp'!AL107</f>
        <v>0</v>
      </c>
      <c r="J71" s="248">
        <f t="shared" si="4"/>
        <v>0</v>
      </c>
    </row>
    <row r="72" spans="1:10" ht="15.75">
      <c r="A72" s="235">
        <v>6</v>
      </c>
      <c r="B72" s="23">
        <f>IF('Bud-A&amp;B Pers Exp'!B16="","",'Bud-A&amp;B Pers Exp'!B16)</f>
      </c>
      <c r="C72" s="23">
        <f>IF('Bud-A&amp;B Pers Exp'!D16="","",'Bud-A&amp;B Pers Exp'!D16)</f>
      </c>
      <c r="D72" s="23">
        <f>IF('Bud-A&amp;B Pers Exp'!E16="","",'Bud-A&amp;B Pers Exp'!E16)</f>
      </c>
      <c r="E72" s="234">
        <f>'Bud-A&amp;B Pers Exp'!AL16</f>
        <v>0</v>
      </c>
      <c r="F72" s="234">
        <f>'Bud-A&amp;B Pers Exp'!AL39</f>
        <v>0</v>
      </c>
      <c r="G72" s="234">
        <f>'Bud-A&amp;B Pers Exp'!AL62</f>
        <v>0</v>
      </c>
      <c r="H72" s="234">
        <f>'Bud-A&amp;B Pers Exp'!AL85</f>
        <v>0</v>
      </c>
      <c r="I72" s="234">
        <f>'Bud-A&amp;B Pers Exp'!AL108</f>
        <v>0</v>
      </c>
      <c r="J72" s="248">
        <f t="shared" si="4"/>
        <v>0</v>
      </c>
    </row>
    <row r="73" spans="1:10" ht="15.75">
      <c r="A73" s="235">
        <v>7</v>
      </c>
      <c r="B73" s="23">
        <f>IF('Bud-A&amp;B Pers Exp'!B17="","",'Bud-A&amp;B Pers Exp'!B17)</f>
      </c>
      <c r="C73" s="23">
        <f>IF('Bud-A&amp;B Pers Exp'!D17="","",'Bud-A&amp;B Pers Exp'!D17)</f>
      </c>
      <c r="D73" s="23">
        <f>IF('Bud-A&amp;B Pers Exp'!E17="","",'Bud-A&amp;B Pers Exp'!E17)</f>
      </c>
      <c r="E73" s="234">
        <f>'Bud-A&amp;B Pers Exp'!AL17</f>
        <v>0</v>
      </c>
      <c r="F73" s="234">
        <f>'Bud-A&amp;B Pers Exp'!AL40</f>
        <v>0</v>
      </c>
      <c r="G73" s="234">
        <f>'Bud-A&amp;B Pers Exp'!AL63</f>
        <v>0</v>
      </c>
      <c r="H73" s="234">
        <f>'Bud-A&amp;B Pers Exp'!AL86</f>
        <v>0</v>
      </c>
      <c r="I73" s="234">
        <f>'Bud-A&amp;B Pers Exp'!AL109</f>
        <v>0</v>
      </c>
      <c r="J73" s="248">
        <f t="shared" si="4"/>
        <v>0</v>
      </c>
    </row>
    <row r="74" spans="1:10" ht="15.75">
      <c r="A74" s="235">
        <v>8</v>
      </c>
      <c r="B74" s="23">
        <f>IF('Bud-A&amp;B Pers Exp'!B18="","",'Bud-A&amp;B Pers Exp'!B18)</f>
      </c>
      <c r="C74" s="23">
        <f>IF('Bud-A&amp;B Pers Exp'!D18="","",'Bud-A&amp;B Pers Exp'!D18)</f>
      </c>
      <c r="D74" s="23">
        <f>IF('Bud-A&amp;B Pers Exp'!E18="","",'Bud-A&amp;B Pers Exp'!E18)</f>
      </c>
      <c r="E74" s="234">
        <f>'Bud-A&amp;B Pers Exp'!AL18</f>
        <v>0</v>
      </c>
      <c r="F74" s="234">
        <f>'Bud-A&amp;B Pers Exp'!AL41</f>
        <v>0</v>
      </c>
      <c r="G74" s="234">
        <f>'Bud-A&amp;B Pers Exp'!AL64</f>
        <v>0</v>
      </c>
      <c r="H74" s="234">
        <f>'Bud-A&amp;B Pers Exp'!AL87</f>
        <v>0</v>
      </c>
      <c r="I74" s="234">
        <f>'Bud-A&amp;B Pers Exp'!AL110</f>
        <v>0</v>
      </c>
      <c r="J74" s="248">
        <f t="shared" si="4"/>
        <v>0</v>
      </c>
    </row>
    <row r="75" spans="1:10" ht="15.75">
      <c r="A75" s="235">
        <v>9</v>
      </c>
      <c r="B75" s="23">
        <f>IF('Bud-A&amp;B Pers Exp'!B19="","",'Bud-A&amp;B Pers Exp'!B19)</f>
      </c>
      <c r="C75" s="23">
        <f>IF('Bud-A&amp;B Pers Exp'!D19="","",'Bud-A&amp;B Pers Exp'!D19)</f>
      </c>
      <c r="D75" s="23">
        <f>IF('Bud-A&amp;B Pers Exp'!E19="","",'Bud-A&amp;B Pers Exp'!E19)</f>
      </c>
      <c r="E75" s="234">
        <f>'Bud-A&amp;B Pers Exp'!AL19</f>
        <v>0</v>
      </c>
      <c r="F75" s="234">
        <f>'Bud-A&amp;B Pers Exp'!AL42</f>
        <v>0</v>
      </c>
      <c r="G75" s="234">
        <f>'Bud-A&amp;B Pers Exp'!AL65</f>
        <v>0</v>
      </c>
      <c r="H75" s="234">
        <f>'Bud-A&amp;B Pers Exp'!AL88</f>
        <v>0</v>
      </c>
      <c r="I75" s="234">
        <f>'Bud-A&amp;B Pers Exp'!AL111</f>
        <v>0</v>
      </c>
      <c r="J75" s="248">
        <f t="shared" si="4"/>
        <v>0</v>
      </c>
    </row>
    <row r="76" spans="1:10" ht="15.75">
      <c r="A76" s="235">
        <v>10</v>
      </c>
      <c r="B76" s="23">
        <f>IF('Bud-A&amp;B Pers Exp'!B20="","",'Bud-A&amp;B Pers Exp'!B20)</f>
      </c>
      <c r="C76" s="23">
        <f>IF('Bud-A&amp;B Pers Exp'!D20="","",'Bud-A&amp;B Pers Exp'!D20)</f>
      </c>
      <c r="D76" s="23">
        <f>IF('Bud-A&amp;B Pers Exp'!E20="","",'Bud-A&amp;B Pers Exp'!E20)</f>
      </c>
      <c r="E76" s="234">
        <f>'Bud-A&amp;B Pers Exp'!AL20</f>
        <v>0</v>
      </c>
      <c r="F76" s="234">
        <f>'Bud-A&amp;B Pers Exp'!AL43</f>
        <v>0</v>
      </c>
      <c r="G76" s="234">
        <f>'Bud-A&amp;B Pers Exp'!AL66</f>
        <v>0</v>
      </c>
      <c r="H76" s="234">
        <f>'Bud-A&amp;B Pers Exp'!AL89</f>
        <v>0</v>
      </c>
      <c r="I76" s="234">
        <f>'Bud-A&amp;B Pers Exp'!AL112</f>
        <v>0</v>
      </c>
      <c r="J76" s="248">
        <f t="shared" si="4"/>
        <v>0</v>
      </c>
    </row>
    <row r="77" spans="1:10" ht="15.75">
      <c r="A77" s="235">
        <v>11</v>
      </c>
      <c r="B77" s="23">
        <f>IF('Bud-A&amp;B Pers Exp'!B21="","",'Bud-A&amp;B Pers Exp'!B21)</f>
      </c>
      <c r="C77" s="23">
        <f>IF('Bud-A&amp;B Pers Exp'!D21="","",'Bud-A&amp;B Pers Exp'!D21)</f>
      </c>
      <c r="D77" s="23">
        <f>IF('Bud-A&amp;B Pers Exp'!E21="","",'Bud-A&amp;B Pers Exp'!E21)</f>
      </c>
      <c r="E77" s="234">
        <f>'Bud-A&amp;B Pers Exp'!AL21</f>
        <v>0</v>
      </c>
      <c r="F77" s="234">
        <f>'Bud-A&amp;B Pers Exp'!AL44</f>
        <v>0</v>
      </c>
      <c r="G77" s="234">
        <f>'Bud-A&amp;B Pers Exp'!AL67</f>
        <v>0</v>
      </c>
      <c r="H77" s="234">
        <f>'Bud-A&amp;B Pers Exp'!AL90</f>
        <v>0</v>
      </c>
      <c r="I77" s="234">
        <f>'Bud-A&amp;B Pers Exp'!AL113</f>
        <v>0</v>
      </c>
      <c r="J77" s="248">
        <f t="shared" si="4"/>
        <v>0</v>
      </c>
    </row>
    <row r="78" spans="1:10" ht="15.75">
      <c r="A78" s="235">
        <v>12</v>
      </c>
      <c r="B78" s="23">
        <f>IF('Bud-A&amp;B Pers Exp'!B22="","",'Bud-A&amp;B Pers Exp'!B22)</f>
      </c>
      <c r="C78" s="23">
        <f>IF('Bud-A&amp;B Pers Exp'!D22="","",'Bud-A&amp;B Pers Exp'!D22)</f>
      </c>
      <c r="D78" s="23">
        <f>IF('Bud-A&amp;B Pers Exp'!E22="","",'Bud-A&amp;B Pers Exp'!E22)</f>
      </c>
      <c r="E78" s="234">
        <f>'Bud-A&amp;B Pers Exp'!AL22</f>
        <v>0</v>
      </c>
      <c r="F78" s="234">
        <f>'Bud-A&amp;B Pers Exp'!AL45</f>
        <v>0</v>
      </c>
      <c r="G78" s="234">
        <f>'Bud-A&amp;B Pers Exp'!AL68</f>
        <v>0</v>
      </c>
      <c r="H78" s="234">
        <f>'Bud-A&amp;B Pers Exp'!AL91</f>
        <v>0</v>
      </c>
      <c r="I78" s="234">
        <f>'Bud-A&amp;B Pers Exp'!AL114</f>
        <v>0</v>
      </c>
      <c r="J78" s="248">
        <f t="shared" si="4"/>
        <v>0</v>
      </c>
    </row>
    <row r="79" spans="1:10" ht="15.75">
      <c r="A79" s="235">
        <v>13</v>
      </c>
      <c r="B79" s="23">
        <f>IF('Bud-A&amp;B Pers Exp'!B23="","",'Bud-A&amp;B Pers Exp'!B23)</f>
      </c>
      <c r="C79" s="23">
        <f>IF('Bud-A&amp;B Pers Exp'!D23="","",'Bud-A&amp;B Pers Exp'!D23)</f>
      </c>
      <c r="D79" s="23">
        <f>IF('Bud-A&amp;B Pers Exp'!E23="","",'Bud-A&amp;B Pers Exp'!E23)</f>
      </c>
      <c r="E79" s="234">
        <f>'Bud-A&amp;B Pers Exp'!AL23</f>
        <v>0</v>
      </c>
      <c r="F79" s="234">
        <f>'Bud-A&amp;B Pers Exp'!AL46</f>
        <v>0</v>
      </c>
      <c r="G79" s="234">
        <f>'Bud-A&amp;B Pers Exp'!AL69</f>
        <v>0</v>
      </c>
      <c r="H79" s="234">
        <f>'Bud-A&amp;B Pers Exp'!AL92</f>
        <v>0</v>
      </c>
      <c r="I79" s="234">
        <f>'Bud-A&amp;B Pers Exp'!AL115</f>
        <v>0</v>
      </c>
      <c r="J79" s="248">
        <f t="shared" si="4"/>
        <v>0</v>
      </c>
    </row>
    <row r="80" spans="1:10" ht="15.75">
      <c r="A80" s="235">
        <v>14</v>
      </c>
      <c r="B80" s="23">
        <f>IF('Bud-A&amp;B Pers Exp'!B24="","",'Bud-A&amp;B Pers Exp'!B24)</f>
      </c>
      <c r="C80" s="23">
        <f>IF('Bud-A&amp;B Pers Exp'!D24="","",'Bud-A&amp;B Pers Exp'!D24)</f>
      </c>
      <c r="D80" s="23">
        <f>IF('Bud-A&amp;B Pers Exp'!E24="","",'Bud-A&amp;B Pers Exp'!E24)</f>
      </c>
      <c r="E80" s="234">
        <f>'Bud-A&amp;B Pers Exp'!AL24</f>
        <v>0</v>
      </c>
      <c r="F80" s="234">
        <f>'Bud-A&amp;B Pers Exp'!AL47</f>
        <v>0</v>
      </c>
      <c r="G80" s="234">
        <f>'Bud-A&amp;B Pers Exp'!AL70</f>
        <v>0</v>
      </c>
      <c r="H80" s="234">
        <f>'Bud-A&amp;B Pers Exp'!AL93</f>
        <v>0</v>
      </c>
      <c r="I80" s="234">
        <f>'Bud-A&amp;B Pers Exp'!AL116</f>
        <v>0</v>
      </c>
      <c r="J80" s="248">
        <f t="shared" si="4"/>
        <v>0</v>
      </c>
    </row>
    <row r="81" spans="1:10" ht="15.75">
      <c r="A81" s="235">
        <v>15</v>
      </c>
      <c r="B81" s="23">
        <f>IF('Bud-A&amp;B Pers Exp'!B25="","",'Bud-A&amp;B Pers Exp'!B25)</f>
      </c>
      <c r="C81" s="23">
        <f>IF('Bud-A&amp;B Pers Exp'!D25="","",'Bud-A&amp;B Pers Exp'!D25)</f>
      </c>
      <c r="D81" s="23">
        <f>IF('Bud-A&amp;B Pers Exp'!E25="","",'Bud-A&amp;B Pers Exp'!E25)</f>
      </c>
      <c r="E81" s="234">
        <f>'Bud-A&amp;B Pers Exp'!AL25</f>
        <v>0</v>
      </c>
      <c r="F81" s="234">
        <f>'Bud-A&amp;B Pers Exp'!AL48</f>
        <v>0</v>
      </c>
      <c r="G81" s="234">
        <f>'Bud-A&amp;B Pers Exp'!AL71</f>
        <v>0</v>
      </c>
      <c r="H81" s="234">
        <f>'Bud-A&amp;B Pers Exp'!AL94</f>
        <v>0</v>
      </c>
      <c r="I81" s="234">
        <f>'Bud-A&amp;B Pers Exp'!AL117</f>
        <v>0</v>
      </c>
      <c r="J81" s="248">
        <f t="shared" si="4"/>
        <v>0</v>
      </c>
    </row>
    <row r="82" spans="1:10" s="23" customFormat="1" ht="15.75">
      <c r="A82" s="235"/>
      <c r="B82" s="23" t="s">
        <v>336</v>
      </c>
      <c r="E82" s="234">
        <f>H82</f>
        <v>1</v>
      </c>
      <c r="F82" s="234"/>
      <c r="G82" s="234"/>
      <c r="H82" s="234">
        <f>'Bud In-Kind'!D8</f>
        <v>1</v>
      </c>
      <c r="I82" s="234"/>
      <c r="J82" s="248">
        <f t="shared" si="4"/>
        <v>0</v>
      </c>
    </row>
    <row r="83" spans="2:10" ht="16.5" thickBot="1">
      <c r="B83" s="23" t="s">
        <v>339</v>
      </c>
      <c r="E83" s="241">
        <f aca="true" t="shared" si="5" ref="E83:J83">SUM(E67:E82)</f>
        <v>97926.88</v>
      </c>
      <c r="F83" s="241">
        <f t="shared" si="5"/>
        <v>34876.8</v>
      </c>
      <c r="G83" s="241">
        <f t="shared" si="5"/>
        <v>57236.28</v>
      </c>
      <c r="H83" s="241">
        <f t="shared" si="5"/>
        <v>5813.8</v>
      </c>
      <c r="I83" s="241">
        <f t="shared" si="5"/>
        <v>0</v>
      </c>
      <c r="J83" s="249">
        <f t="shared" si="5"/>
        <v>0</v>
      </c>
    </row>
    <row r="84" spans="2:10" s="23" customFormat="1" ht="15.75">
      <c r="B84" s="23" t="s">
        <v>346</v>
      </c>
      <c r="E84" s="242">
        <f>+I83</f>
        <v>0</v>
      </c>
      <c r="F84" s="242"/>
      <c r="G84" s="242"/>
      <c r="H84" s="242"/>
      <c r="I84" s="242"/>
      <c r="J84" s="244"/>
    </row>
    <row r="85" spans="2:10" s="23" customFormat="1" ht="16.5" thickBot="1">
      <c r="B85" s="23" t="s">
        <v>345</v>
      </c>
      <c r="E85" s="251">
        <f>+E83-E84</f>
        <v>97926.88</v>
      </c>
      <c r="F85" s="242"/>
      <c r="G85" s="242"/>
      <c r="H85" s="242"/>
      <c r="I85" s="242"/>
      <c r="J85" s="244"/>
    </row>
    <row r="86" spans="4:10" s="23" customFormat="1" ht="16.5" thickTop="1">
      <c r="D86" s="243" t="s">
        <v>59</v>
      </c>
      <c r="E86" s="244">
        <f>E85-J16</f>
        <v>0</v>
      </c>
      <c r="F86" s="242"/>
      <c r="G86" s="242"/>
      <c r="H86" s="242"/>
      <c r="I86" s="242"/>
      <c r="J86" s="242"/>
    </row>
    <row r="87" spans="1:7" ht="15.75">
      <c r="A87" s="237" t="s">
        <v>342</v>
      </c>
      <c r="D87" s="238" t="s">
        <v>334</v>
      </c>
      <c r="E87" s="239">
        <f>'Bud-A&amp;B Pers Exp'!D3</f>
        <v>0.4</v>
      </c>
      <c r="F87" s="238" t="s">
        <v>335</v>
      </c>
      <c r="G87" s="240">
        <f>'Bud-A&amp;B Pers Exp'!D4</f>
        <v>0.085</v>
      </c>
    </row>
    <row r="88" spans="1:10" s="23" customFormat="1" ht="32.25" thickBot="1">
      <c r="A88" s="236"/>
      <c r="B88" s="54" t="s">
        <v>329</v>
      </c>
      <c r="C88" s="54" t="s">
        <v>0</v>
      </c>
      <c r="D88" s="54" t="s">
        <v>332</v>
      </c>
      <c r="E88" s="54" t="s">
        <v>333</v>
      </c>
      <c r="F88" s="54" t="s">
        <v>88</v>
      </c>
      <c r="G88" s="54" t="s">
        <v>309</v>
      </c>
      <c r="H88" s="54" t="s">
        <v>314</v>
      </c>
      <c r="I88" s="54" t="s">
        <v>331</v>
      </c>
      <c r="J88" s="247" t="s">
        <v>59</v>
      </c>
    </row>
    <row r="89" spans="1:10" ht="15.75">
      <c r="A89" s="235">
        <f aca="true" t="shared" si="6" ref="A89:D103">A67</f>
        <v>1</v>
      </c>
      <c r="B89" s="23" t="str">
        <f t="shared" si="6"/>
        <v>Test 1</v>
      </c>
      <c r="C89" s="23" t="str">
        <f t="shared" si="6"/>
        <v>Director</v>
      </c>
      <c r="D89" s="23" t="str">
        <f t="shared" si="6"/>
        <v>Full-time</v>
      </c>
      <c r="E89" s="211">
        <f>'Bud-A&amp;B Pers Exp'!AQ11</f>
        <v>23251.2</v>
      </c>
      <c r="F89" s="211">
        <f>'Bud-A&amp;B Pers Exp'!AQ34</f>
        <v>13950.72</v>
      </c>
      <c r="G89" s="211">
        <f>+'Bud-A&amp;B Pers Exp'!AQ57</f>
        <v>6975.36</v>
      </c>
      <c r="H89" s="211">
        <f>'Bud-A&amp;B Pers Exp'!AQ80</f>
        <v>2325.12</v>
      </c>
      <c r="I89" s="211">
        <f>'Bud-A&amp;B Pers Exp'!AQ103</f>
        <v>0</v>
      </c>
      <c r="J89" s="248">
        <f>E89-SUM(F89:I89)</f>
        <v>0</v>
      </c>
    </row>
    <row r="90" spans="1:10" ht="15.75">
      <c r="A90" s="235">
        <f t="shared" si="6"/>
        <v>2</v>
      </c>
      <c r="B90" s="23" t="str">
        <f t="shared" si="6"/>
        <v>Test 2</v>
      </c>
      <c r="C90" s="23" t="str">
        <f t="shared" si="6"/>
        <v>Asst Director</v>
      </c>
      <c r="D90" s="23" t="str">
        <f t="shared" si="6"/>
        <v>Full-time</v>
      </c>
      <c r="E90" s="211">
        <f>'Bud-A&amp;B Pers Exp'!AQ12</f>
        <v>4800</v>
      </c>
      <c r="F90" s="211">
        <f>'Bud-A&amp;B Pers Exp'!AQ35</f>
        <v>0</v>
      </c>
      <c r="G90" s="211">
        <f>+'Bud-A&amp;B Pers Exp'!AQ58</f>
        <v>4800</v>
      </c>
      <c r="H90" s="211">
        <f>'Bud-A&amp;B Pers Exp'!AQ81</f>
        <v>0</v>
      </c>
      <c r="I90" s="211">
        <f>'Bud-A&amp;B Pers Exp'!AQ104</f>
        <v>0</v>
      </c>
      <c r="J90" s="248">
        <f aca="true" t="shared" si="7" ref="J90:J104">E90-SUM(F90:I90)</f>
        <v>0</v>
      </c>
    </row>
    <row r="91" spans="1:10" ht="15.75">
      <c r="A91" s="235">
        <f t="shared" si="6"/>
        <v>3</v>
      </c>
      <c r="B91" s="23" t="str">
        <f t="shared" si="6"/>
        <v>Test 3</v>
      </c>
      <c r="C91" s="23" t="str">
        <f t="shared" si="6"/>
        <v>Counselor</v>
      </c>
      <c r="D91" s="23" t="str">
        <f t="shared" si="6"/>
        <v>Part-time</v>
      </c>
      <c r="E91" s="211">
        <f>'Bud-A&amp;B Pers Exp'!AQ13</f>
        <v>679.96</v>
      </c>
      <c r="F91" s="211">
        <f>'Bud-A&amp;B Pers Exp'!AQ36</f>
        <v>0</v>
      </c>
      <c r="G91" s="211">
        <f>+'Bud-A&amp;B Pers Exp'!AQ59</f>
        <v>679.96</v>
      </c>
      <c r="H91" s="211">
        <f>'Bud-A&amp;B Pers Exp'!AQ82</f>
        <v>0</v>
      </c>
      <c r="I91" s="211">
        <f>'Bud-A&amp;B Pers Exp'!AQ105</f>
        <v>0</v>
      </c>
      <c r="J91" s="248">
        <f t="shared" si="7"/>
        <v>0</v>
      </c>
    </row>
    <row r="92" spans="1:10" ht="15.75">
      <c r="A92" s="235">
        <f t="shared" si="6"/>
        <v>4</v>
      </c>
      <c r="B92" s="23" t="str">
        <f t="shared" si="6"/>
        <v>Test 4</v>
      </c>
      <c r="C92" s="23" t="str">
        <f t="shared" si="6"/>
        <v>Trainer</v>
      </c>
      <c r="D92" s="23" t="str">
        <f t="shared" si="6"/>
        <v>Part-time</v>
      </c>
      <c r="E92" s="211">
        <f>'Bud-A&amp;B Pers Exp'!AQ14</f>
        <v>1274.88</v>
      </c>
      <c r="F92" s="211">
        <f>'Bud-A&amp;B Pers Exp'!AQ37</f>
        <v>0</v>
      </c>
      <c r="G92" s="211">
        <f>+'Bud-A&amp;B Pers Exp'!AQ60</f>
        <v>1274.88</v>
      </c>
      <c r="H92" s="211">
        <f>'Bud-A&amp;B Pers Exp'!AQ83</f>
        <v>0</v>
      </c>
      <c r="I92" s="211">
        <f>'Bud-A&amp;B Pers Exp'!AQ106</f>
        <v>0</v>
      </c>
      <c r="J92" s="248">
        <f t="shared" si="7"/>
        <v>0</v>
      </c>
    </row>
    <row r="93" spans="1:10" ht="15.75">
      <c r="A93" s="235">
        <f t="shared" si="6"/>
        <v>5</v>
      </c>
      <c r="B93" s="23" t="str">
        <f t="shared" si="6"/>
        <v>Test 5</v>
      </c>
      <c r="C93" s="23" t="str">
        <f t="shared" si="6"/>
        <v>Trainer</v>
      </c>
      <c r="D93" s="23" t="str">
        <f t="shared" si="6"/>
        <v>Part-time</v>
      </c>
      <c r="E93" s="211">
        <f>'Bud-A&amp;B Pers Exp'!AQ15</f>
        <v>407.96</v>
      </c>
      <c r="F93" s="211">
        <f>'Bud-A&amp;B Pers Exp'!AQ38</f>
        <v>0</v>
      </c>
      <c r="G93" s="211">
        <f>+'Bud-A&amp;B Pers Exp'!AQ61</f>
        <v>407.96</v>
      </c>
      <c r="H93" s="211">
        <f>'Bud-A&amp;B Pers Exp'!AQ84</f>
        <v>0</v>
      </c>
      <c r="I93" s="211">
        <f>'Bud-A&amp;B Pers Exp'!AQ107</f>
        <v>0</v>
      </c>
      <c r="J93" s="248">
        <f t="shared" si="7"/>
        <v>0</v>
      </c>
    </row>
    <row r="94" spans="1:10" ht="15.75">
      <c r="A94" s="235">
        <f t="shared" si="6"/>
        <v>6</v>
      </c>
      <c r="B94" s="23">
        <f t="shared" si="6"/>
      </c>
      <c r="C94" s="23">
        <f t="shared" si="6"/>
      </c>
      <c r="D94" s="23">
        <f t="shared" si="6"/>
      </c>
      <c r="E94" s="211">
        <f>'Bud-A&amp;B Pers Exp'!AQ16</f>
        <v>0</v>
      </c>
      <c r="F94" s="211">
        <f>'Bud-A&amp;B Pers Exp'!AQ39</f>
        <v>0</v>
      </c>
      <c r="G94" s="211">
        <f>+'Bud-A&amp;B Pers Exp'!AQ62</f>
        <v>0</v>
      </c>
      <c r="H94" s="211">
        <f>'Bud-A&amp;B Pers Exp'!AQ85</f>
        <v>0</v>
      </c>
      <c r="I94" s="211">
        <f>'Bud-A&amp;B Pers Exp'!AQ108</f>
        <v>0</v>
      </c>
      <c r="J94" s="248">
        <f t="shared" si="7"/>
        <v>0</v>
      </c>
    </row>
    <row r="95" spans="1:10" ht="15.75">
      <c r="A95" s="235">
        <f t="shared" si="6"/>
        <v>7</v>
      </c>
      <c r="B95" s="23">
        <f t="shared" si="6"/>
      </c>
      <c r="C95" s="23">
        <f t="shared" si="6"/>
      </c>
      <c r="D95" s="23">
        <f t="shared" si="6"/>
      </c>
      <c r="E95" s="211">
        <f>'Bud-A&amp;B Pers Exp'!AQ17</f>
        <v>0</v>
      </c>
      <c r="F95" s="211">
        <f>'Bud-A&amp;B Pers Exp'!AQ40</f>
        <v>0</v>
      </c>
      <c r="G95" s="211">
        <f>+'Bud-A&amp;B Pers Exp'!AQ63</f>
        <v>0</v>
      </c>
      <c r="H95" s="211">
        <f>'Bud-A&amp;B Pers Exp'!AQ86</f>
        <v>0</v>
      </c>
      <c r="I95" s="211">
        <f>'Bud-A&amp;B Pers Exp'!AQ109</f>
        <v>0</v>
      </c>
      <c r="J95" s="248">
        <f t="shared" si="7"/>
        <v>0</v>
      </c>
    </row>
    <row r="96" spans="1:10" ht="15.75">
      <c r="A96" s="235">
        <f t="shared" si="6"/>
        <v>8</v>
      </c>
      <c r="B96" s="23">
        <f t="shared" si="6"/>
      </c>
      <c r="C96" s="23">
        <f t="shared" si="6"/>
      </c>
      <c r="D96" s="23">
        <f t="shared" si="6"/>
      </c>
      <c r="E96" s="211">
        <f>'Bud-A&amp;B Pers Exp'!AQ18</f>
        <v>0</v>
      </c>
      <c r="F96" s="211">
        <f>'Bud-A&amp;B Pers Exp'!AQ41</f>
        <v>0</v>
      </c>
      <c r="G96" s="211">
        <f>+'Bud-A&amp;B Pers Exp'!AQ64</f>
        <v>0</v>
      </c>
      <c r="H96" s="211">
        <f>'Bud-A&amp;B Pers Exp'!AQ87</f>
        <v>0</v>
      </c>
      <c r="I96" s="211">
        <f>'Bud-A&amp;B Pers Exp'!AQ110</f>
        <v>0</v>
      </c>
      <c r="J96" s="248">
        <f t="shared" si="7"/>
        <v>0</v>
      </c>
    </row>
    <row r="97" spans="1:10" ht="15.75">
      <c r="A97" s="235">
        <f t="shared" si="6"/>
        <v>9</v>
      </c>
      <c r="B97" s="23">
        <f t="shared" si="6"/>
      </c>
      <c r="C97" s="23">
        <f t="shared" si="6"/>
      </c>
      <c r="D97" s="23">
        <f t="shared" si="6"/>
      </c>
      <c r="E97" s="211">
        <f>'Bud-A&amp;B Pers Exp'!AQ19</f>
        <v>0</v>
      </c>
      <c r="F97" s="211">
        <f>'Bud-A&amp;B Pers Exp'!AQ42</f>
        <v>0</v>
      </c>
      <c r="G97" s="211">
        <f>+'Bud-A&amp;B Pers Exp'!AQ65</f>
        <v>0</v>
      </c>
      <c r="H97" s="211">
        <f>'Bud-A&amp;B Pers Exp'!AQ88</f>
        <v>0</v>
      </c>
      <c r="I97" s="211">
        <f>'Bud-A&amp;B Pers Exp'!AQ111</f>
        <v>0</v>
      </c>
      <c r="J97" s="248">
        <f t="shared" si="7"/>
        <v>0</v>
      </c>
    </row>
    <row r="98" spans="1:10" ht="15.75">
      <c r="A98" s="235">
        <f t="shared" si="6"/>
        <v>10</v>
      </c>
      <c r="B98" s="23">
        <f t="shared" si="6"/>
      </c>
      <c r="C98" s="23">
        <f t="shared" si="6"/>
      </c>
      <c r="D98" s="23">
        <f t="shared" si="6"/>
      </c>
      <c r="E98" s="211">
        <f>'Bud-A&amp;B Pers Exp'!AQ20</f>
        <v>0</v>
      </c>
      <c r="F98" s="211">
        <f>'Bud-A&amp;B Pers Exp'!AQ43</f>
        <v>0</v>
      </c>
      <c r="G98" s="211">
        <f>+'Bud-A&amp;B Pers Exp'!AQ66</f>
        <v>0</v>
      </c>
      <c r="H98" s="211">
        <f>'Bud-A&amp;B Pers Exp'!AQ89</f>
        <v>0</v>
      </c>
      <c r="I98" s="211">
        <f>'Bud-A&amp;B Pers Exp'!AQ112</f>
        <v>0</v>
      </c>
      <c r="J98" s="248">
        <f t="shared" si="7"/>
        <v>0</v>
      </c>
    </row>
    <row r="99" spans="1:10" ht="15.75">
      <c r="A99" s="235">
        <f t="shared" si="6"/>
        <v>11</v>
      </c>
      <c r="B99" s="23">
        <f t="shared" si="6"/>
      </c>
      <c r="C99" s="23">
        <f t="shared" si="6"/>
      </c>
      <c r="D99" s="23">
        <f t="shared" si="6"/>
      </c>
      <c r="E99" s="211">
        <f>'Bud-A&amp;B Pers Exp'!AQ21</f>
        <v>0</v>
      </c>
      <c r="F99" s="211">
        <f>'Bud-A&amp;B Pers Exp'!AQ44</f>
        <v>0</v>
      </c>
      <c r="G99" s="211">
        <f>+'Bud-A&amp;B Pers Exp'!AQ67</f>
        <v>0</v>
      </c>
      <c r="H99" s="211">
        <f>'Bud-A&amp;B Pers Exp'!AQ90</f>
        <v>0</v>
      </c>
      <c r="I99" s="211">
        <f>'Bud-A&amp;B Pers Exp'!AQ113</f>
        <v>0</v>
      </c>
      <c r="J99" s="248">
        <f t="shared" si="7"/>
        <v>0</v>
      </c>
    </row>
    <row r="100" spans="1:10" ht="15.75">
      <c r="A100" s="235">
        <f t="shared" si="6"/>
        <v>12</v>
      </c>
      <c r="B100" s="23">
        <f t="shared" si="6"/>
      </c>
      <c r="C100" s="23">
        <f t="shared" si="6"/>
      </c>
      <c r="D100" s="23">
        <f t="shared" si="6"/>
      </c>
      <c r="E100" s="211">
        <f>'Bud-A&amp;B Pers Exp'!AQ22</f>
        <v>0</v>
      </c>
      <c r="F100" s="211">
        <f>'Bud-A&amp;B Pers Exp'!AQ45</f>
        <v>0</v>
      </c>
      <c r="G100" s="211">
        <f>+'Bud-A&amp;B Pers Exp'!AQ68</f>
        <v>0</v>
      </c>
      <c r="H100" s="211">
        <f>'Bud-A&amp;B Pers Exp'!AQ91</f>
        <v>0</v>
      </c>
      <c r="I100" s="211">
        <f>'Bud-A&amp;B Pers Exp'!AQ114</f>
        <v>0</v>
      </c>
      <c r="J100" s="248">
        <f t="shared" si="7"/>
        <v>0</v>
      </c>
    </row>
    <row r="101" spans="1:10" ht="15.75">
      <c r="A101" s="235">
        <f t="shared" si="6"/>
        <v>13</v>
      </c>
      <c r="B101" s="23">
        <f t="shared" si="6"/>
      </c>
      <c r="C101" s="23">
        <f t="shared" si="6"/>
      </c>
      <c r="D101" s="23">
        <f t="shared" si="6"/>
      </c>
      <c r="E101" s="211">
        <f>'Bud-A&amp;B Pers Exp'!AQ23</f>
        <v>0</v>
      </c>
      <c r="F101" s="211">
        <f>'Bud-A&amp;B Pers Exp'!AQ46</f>
        <v>0</v>
      </c>
      <c r="G101" s="211">
        <f>+'Bud-A&amp;B Pers Exp'!AQ69</f>
        <v>0</v>
      </c>
      <c r="H101" s="211">
        <f>'Bud-A&amp;B Pers Exp'!AQ92</f>
        <v>0</v>
      </c>
      <c r="I101" s="211">
        <f>'Bud-A&amp;B Pers Exp'!AQ115</f>
        <v>0</v>
      </c>
      <c r="J101" s="248">
        <f t="shared" si="7"/>
        <v>0</v>
      </c>
    </row>
    <row r="102" spans="1:10" ht="15.75">
      <c r="A102" s="235">
        <f t="shared" si="6"/>
        <v>14</v>
      </c>
      <c r="B102" s="23">
        <f t="shared" si="6"/>
      </c>
      <c r="C102" s="23">
        <f t="shared" si="6"/>
      </c>
      <c r="D102" s="23">
        <f t="shared" si="6"/>
      </c>
      <c r="E102" s="211">
        <f>'Bud-A&amp;B Pers Exp'!AQ24</f>
        <v>0</v>
      </c>
      <c r="F102" s="211">
        <f>'Bud-A&amp;B Pers Exp'!AQ47</f>
        <v>0</v>
      </c>
      <c r="G102" s="211">
        <f>+'Bud-A&amp;B Pers Exp'!AQ70</f>
        <v>0</v>
      </c>
      <c r="H102" s="211">
        <f>'Bud-A&amp;B Pers Exp'!AQ93</f>
        <v>0</v>
      </c>
      <c r="I102" s="211">
        <f>'Bud-A&amp;B Pers Exp'!AQ116</f>
        <v>0</v>
      </c>
      <c r="J102" s="248">
        <f t="shared" si="7"/>
        <v>0</v>
      </c>
    </row>
    <row r="103" spans="1:10" ht="15.75">
      <c r="A103" s="235">
        <f t="shared" si="6"/>
        <v>15</v>
      </c>
      <c r="B103" s="23">
        <f t="shared" si="6"/>
      </c>
      <c r="C103" s="23">
        <f t="shared" si="6"/>
      </c>
      <c r="D103" s="23">
        <f t="shared" si="6"/>
      </c>
      <c r="E103" s="211">
        <f>'Bud-A&amp;B Pers Exp'!AQ25</f>
        <v>0</v>
      </c>
      <c r="F103" s="211">
        <f>'Bud-A&amp;B Pers Exp'!AQ48</f>
        <v>0</v>
      </c>
      <c r="G103" s="211">
        <f>+'Bud-A&amp;B Pers Exp'!AQ71</f>
        <v>0</v>
      </c>
      <c r="H103" s="211">
        <f>'Bud-A&amp;B Pers Exp'!AQ94</f>
        <v>0</v>
      </c>
      <c r="I103" s="211">
        <f>'Bud-A&amp;B Pers Exp'!AQ117</f>
        <v>0</v>
      </c>
      <c r="J103" s="248">
        <f t="shared" si="7"/>
        <v>0</v>
      </c>
    </row>
    <row r="104" spans="1:10" s="23" customFormat="1" ht="15.75">
      <c r="A104" s="235"/>
      <c r="B104" s="23" t="str">
        <f>B82</f>
        <v>In-kind</v>
      </c>
      <c r="E104" s="8">
        <f>H104</f>
        <v>2</v>
      </c>
      <c r="F104" s="234"/>
      <c r="G104" s="234"/>
      <c r="H104" s="234">
        <f>'Bud In-Kind'!D15</f>
        <v>2</v>
      </c>
      <c r="I104" s="234"/>
      <c r="J104" s="248">
        <f t="shared" si="7"/>
        <v>0</v>
      </c>
    </row>
    <row r="105" spans="1:10" ht="16.5" thickBot="1">
      <c r="A105" s="23"/>
      <c r="B105" s="23" t="s">
        <v>339</v>
      </c>
      <c r="C105" s="23"/>
      <c r="D105" s="23"/>
      <c r="E105" s="241">
        <f aca="true" t="shared" si="8" ref="E105:J105">SUM(E89:E104)</f>
        <v>30416</v>
      </c>
      <c r="F105" s="241">
        <f t="shared" si="8"/>
        <v>13950.72</v>
      </c>
      <c r="G105" s="241">
        <f t="shared" si="8"/>
        <v>14138.16</v>
      </c>
      <c r="H105" s="241">
        <f t="shared" si="8"/>
        <v>2327.12</v>
      </c>
      <c r="I105" s="241">
        <f t="shared" si="8"/>
        <v>0</v>
      </c>
      <c r="J105" s="249">
        <f t="shared" si="8"/>
        <v>0</v>
      </c>
    </row>
    <row r="106" spans="2:10" s="23" customFormat="1" ht="15.75">
      <c r="B106" s="23" t="s">
        <v>346</v>
      </c>
      <c r="E106" s="242">
        <f>+I105</f>
        <v>0</v>
      </c>
      <c r="F106" s="242"/>
      <c r="G106" s="242"/>
      <c r="H106" s="242"/>
      <c r="I106" s="242"/>
      <c r="J106" s="244"/>
    </row>
    <row r="107" spans="2:10" s="23" customFormat="1" ht="16.5" thickBot="1">
      <c r="B107" s="23" t="s">
        <v>345</v>
      </c>
      <c r="E107" s="251">
        <f>+E105-E106</f>
        <v>30416</v>
      </c>
      <c r="F107" s="242"/>
      <c r="G107" s="242"/>
      <c r="H107" s="242"/>
      <c r="I107" s="242"/>
      <c r="J107" s="244"/>
    </row>
    <row r="108" spans="1:10" ht="16.5" thickTop="1">
      <c r="A108" s="23"/>
      <c r="B108" s="23"/>
      <c r="C108" s="23"/>
      <c r="D108" s="243" t="s">
        <v>59</v>
      </c>
      <c r="E108" s="245">
        <f>E107-J17</f>
        <v>0</v>
      </c>
      <c r="J108" s="243"/>
    </row>
    <row r="109" spans="1:4" ht="15.75">
      <c r="A109" s="23"/>
      <c r="B109" s="23"/>
      <c r="C109" s="23"/>
      <c r="D109" s="23"/>
    </row>
    <row r="110" ht="15.75">
      <c r="A110" s="237" t="s">
        <v>343</v>
      </c>
    </row>
    <row r="111" spans="1:11" s="23" customFormat="1" ht="32.25" thickBot="1">
      <c r="A111" s="236"/>
      <c r="B111" s="54" t="s">
        <v>329</v>
      </c>
      <c r="C111" s="54" t="s">
        <v>337</v>
      </c>
      <c r="D111" s="246" t="s">
        <v>62</v>
      </c>
      <c r="E111" s="54" t="s">
        <v>338</v>
      </c>
      <c r="F111" s="54" t="s">
        <v>88</v>
      </c>
      <c r="G111" s="54" t="s">
        <v>309</v>
      </c>
      <c r="H111" s="54" t="s">
        <v>314</v>
      </c>
      <c r="I111" s="54" t="s">
        <v>331</v>
      </c>
      <c r="J111" s="247" t="s">
        <v>59</v>
      </c>
      <c r="K111" s="87"/>
    </row>
    <row r="112" spans="1:10" ht="15.75">
      <c r="A112" s="141">
        <f>'Bud C Trav Exp'!A3</f>
        <v>1</v>
      </c>
      <c r="B112" s="141" t="str">
        <f>IF('Bud C Trav Exp'!B3="","",'Bud C Trav Exp'!B3)</f>
        <v>Test</v>
      </c>
      <c r="C112" s="141" t="str">
        <f>IF('Bud C Trav Exp'!C3="","",'Bud C Trav Exp'!C3)</f>
        <v>Winter directors meeting</v>
      </c>
      <c r="D112" s="141" t="str">
        <f>IF('Bud C Trav Exp'!D3="","",'Bud C Trav Exp'!E3)</f>
        <v>St George</v>
      </c>
      <c r="E112" s="211">
        <f>'Bud C Trav Exp'!Q3</f>
        <v>630</v>
      </c>
      <c r="F112" s="211">
        <f>'Bud C Trav Exp'!Z3</f>
        <v>378</v>
      </c>
      <c r="G112" s="211">
        <f>'Bud C Trav Exp'!AF3</f>
        <v>126</v>
      </c>
      <c r="H112" s="211">
        <f>'Bud C Trav Exp'!AM3</f>
        <v>126</v>
      </c>
      <c r="I112" s="211">
        <f>'Bud C Trav Exp'!AT3</f>
        <v>0</v>
      </c>
      <c r="J112" s="248">
        <f>E112-SUM(F112:I112)</f>
        <v>0</v>
      </c>
    </row>
    <row r="113" spans="1:10" ht="15.75">
      <c r="A113" s="141">
        <f>'Bud C Trav Exp'!A4</f>
        <v>2</v>
      </c>
      <c r="B113" s="141" t="str">
        <f>IF('Bud C Trav Exp'!B4="","",'Bud C Trav Exp'!B4)</f>
        <v>Test</v>
      </c>
      <c r="C113" s="141" t="str">
        <f>IF('Bud C Trav Exp'!C4="","",'Bud C Trav Exp'!C4)</f>
        <v>Annual ASBDC Conference</v>
      </c>
      <c r="D113" s="141" t="str">
        <f>IF('Bud C Trav Exp'!D4="","",'Bud C Trav Exp'!E4)</f>
        <v>Washington DC</v>
      </c>
      <c r="E113" s="211">
        <f>'Bud C Trav Exp'!Q4</f>
        <v>1727</v>
      </c>
      <c r="F113" s="211">
        <f>'Bud C Trav Exp'!Z4</f>
        <v>1036.2</v>
      </c>
      <c r="G113" s="211">
        <f>'Bud C Trav Exp'!AF4</f>
        <v>345.40000000000003</v>
      </c>
      <c r="H113" s="211">
        <f>'Bud C Trav Exp'!AM4</f>
        <v>345.40000000000003</v>
      </c>
      <c r="I113" s="211">
        <f>'Bud C Trav Exp'!AT4</f>
        <v>0</v>
      </c>
      <c r="J113" s="248">
        <f aca="true" t="shared" si="9" ref="J113:J132">E113-SUM(F113:I113)</f>
        <v>0</v>
      </c>
    </row>
    <row r="114" spans="1:10" ht="15.75">
      <c r="A114" s="141">
        <f>'Bud C Trav Exp'!A5</f>
        <v>3</v>
      </c>
      <c r="B114" s="141" t="str">
        <f>IF('Bud C Trav Exp'!B5="","",'Bud C Trav Exp'!B5)</f>
        <v>Test</v>
      </c>
      <c r="C114" s="141" t="str">
        <f>IF('Bud C Trav Exp'!C5="","",'Bud C Trav Exp'!C5)</f>
        <v>Miscellaneous Travel</v>
      </c>
      <c r="D114" s="141" t="str">
        <f>IF('Bud C Trav Exp'!D5="","",'Bud C Trav Exp'!E5)</f>
        <v>Utah</v>
      </c>
      <c r="E114" s="211">
        <f>'Bud C Trav Exp'!Q5</f>
        <v>100</v>
      </c>
      <c r="F114" s="211">
        <f>'Bud C Trav Exp'!Z5</f>
        <v>60</v>
      </c>
      <c r="G114" s="211">
        <f>'Bud C Trav Exp'!AF5</f>
        <v>20</v>
      </c>
      <c r="H114" s="211">
        <f>'Bud C Trav Exp'!AM5</f>
        <v>20</v>
      </c>
      <c r="I114" s="211">
        <f>'Bud C Trav Exp'!AT5</f>
        <v>0</v>
      </c>
      <c r="J114" s="248">
        <f t="shared" si="9"/>
        <v>0</v>
      </c>
    </row>
    <row r="115" spans="1:10" ht="15.75">
      <c r="A115" s="141">
        <f>'Bud C Trav Exp'!A6</f>
        <v>4</v>
      </c>
      <c r="B115" s="141" t="str">
        <f>IF('Bud C Trav Exp'!B6="","",'Bud C Trav Exp'!B6)</f>
        <v>Test</v>
      </c>
      <c r="C115" s="141" t="str">
        <f>IF('Bud C Trav Exp'!C6="","",'Bud C Trav Exp'!C6)</f>
        <v>Miscellaneous Travel</v>
      </c>
      <c r="D115" s="141" t="str">
        <f>IF('Bud C Trav Exp'!D6="","",'Bud C Trav Exp'!E6)</f>
        <v>Utah</v>
      </c>
      <c r="E115" s="211">
        <f>'Bud C Trav Exp'!Q6</f>
        <v>100</v>
      </c>
      <c r="F115" s="211">
        <f>'Bud C Trav Exp'!Z6</f>
        <v>60</v>
      </c>
      <c r="G115" s="211">
        <f>'Bud C Trav Exp'!AF6</f>
        <v>20</v>
      </c>
      <c r="H115" s="211">
        <f>'Bud C Trav Exp'!AM6</f>
        <v>20</v>
      </c>
      <c r="I115" s="211">
        <f>'Bud C Trav Exp'!AT6</f>
        <v>0</v>
      </c>
      <c r="J115" s="248">
        <f t="shared" si="9"/>
        <v>0</v>
      </c>
    </row>
    <row r="116" spans="1:10" ht="15.75">
      <c r="A116" s="141">
        <f>'Bud C Trav Exp'!A7</f>
        <v>5</v>
      </c>
      <c r="B116" s="141" t="str">
        <f>IF('Bud C Trav Exp'!B7="","",'Bud C Trav Exp'!B7)</f>
        <v>Test</v>
      </c>
      <c r="C116" s="141" t="str">
        <f>IF('Bud C Trav Exp'!C7="","",'Bud C Trav Exp'!C7)</f>
        <v>Miscellaneous Travel</v>
      </c>
      <c r="D116" s="141" t="str">
        <f>IF('Bud C Trav Exp'!D7="","",'Bud C Trav Exp'!E7)</f>
        <v>Utah</v>
      </c>
      <c r="E116" s="211">
        <f>'Bud C Trav Exp'!Q7</f>
        <v>100</v>
      </c>
      <c r="F116" s="211">
        <f>'Bud C Trav Exp'!Z7</f>
        <v>60</v>
      </c>
      <c r="G116" s="211">
        <f>'Bud C Trav Exp'!AF7</f>
        <v>20</v>
      </c>
      <c r="H116" s="211">
        <f>'Bud C Trav Exp'!AM7</f>
        <v>20</v>
      </c>
      <c r="I116" s="211">
        <f>'Bud C Trav Exp'!AT7</f>
        <v>0</v>
      </c>
      <c r="J116" s="248">
        <f t="shared" si="9"/>
        <v>0</v>
      </c>
    </row>
    <row r="117" spans="1:10" ht="15.75">
      <c r="A117" s="141">
        <f>'Bud C Trav Exp'!A8</f>
        <v>6</v>
      </c>
      <c r="B117" s="141" t="str">
        <f>IF('Bud C Trav Exp'!B8="","",'Bud C Trav Exp'!B8)</f>
        <v>Test</v>
      </c>
      <c r="C117" s="141" t="str">
        <f>IF('Bud C Trav Exp'!C8="","",'Bud C Trav Exp'!C8)</f>
        <v>Miscellaneous Travel</v>
      </c>
      <c r="D117" s="141" t="str">
        <f>IF('Bud C Trav Exp'!D8="","",'Bud C Trav Exp'!E8)</f>
        <v>Utah</v>
      </c>
      <c r="E117" s="211">
        <f>'Bud C Trav Exp'!Q8</f>
        <v>100</v>
      </c>
      <c r="F117" s="211">
        <f>'Bud C Trav Exp'!Z8</f>
        <v>60</v>
      </c>
      <c r="G117" s="211">
        <f>'Bud C Trav Exp'!AF8</f>
        <v>20</v>
      </c>
      <c r="H117" s="211">
        <f>'Bud C Trav Exp'!AM8</f>
        <v>20</v>
      </c>
      <c r="I117" s="211">
        <f>'Bud C Trav Exp'!AT8</f>
        <v>0</v>
      </c>
      <c r="J117" s="248">
        <f t="shared" si="9"/>
        <v>0</v>
      </c>
    </row>
    <row r="118" spans="1:10" ht="15.75">
      <c r="A118" s="141">
        <f>'Bud C Trav Exp'!A9</f>
        <v>7</v>
      </c>
      <c r="B118" s="141">
        <f>IF('Bud C Trav Exp'!B9="","",'Bud C Trav Exp'!B9)</f>
      </c>
      <c r="C118" s="141">
        <f>IF('Bud C Trav Exp'!C9="","",'Bud C Trav Exp'!C9)</f>
      </c>
      <c r="D118" s="141">
        <f>IF('Bud C Trav Exp'!D9="","",'Bud C Trav Exp'!E9)</f>
      </c>
      <c r="E118" s="211">
        <f>'Bud C Trav Exp'!Q9</f>
        <v>0</v>
      </c>
      <c r="F118" s="211">
        <f>'Bud C Trav Exp'!Z9</f>
        <v>0</v>
      </c>
      <c r="G118" s="211">
        <f>'Bud C Trav Exp'!AF9</f>
        <v>0</v>
      </c>
      <c r="H118" s="211">
        <f>'Bud C Trav Exp'!AM9</f>
        <v>0</v>
      </c>
      <c r="I118" s="211">
        <f>'Bud C Trav Exp'!AT9</f>
        <v>0</v>
      </c>
      <c r="J118" s="248">
        <f t="shared" si="9"/>
        <v>0</v>
      </c>
    </row>
    <row r="119" spans="1:10" ht="15.75">
      <c r="A119" s="141">
        <f>'Bud C Trav Exp'!A10</f>
        <v>8</v>
      </c>
      <c r="B119" s="141">
        <f>IF('Bud C Trav Exp'!B10="","",'Bud C Trav Exp'!B10)</f>
      </c>
      <c r="C119" s="141">
        <f>IF('Bud C Trav Exp'!C10="","",'Bud C Trav Exp'!C10)</f>
      </c>
      <c r="D119" s="141">
        <f>IF('Bud C Trav Exp'!D10="","",'Bud C Trav Exp'!E10)</f>
      </c>
      <c r="E119" s="211">
        <f>'Bud C Trav Exp'!Q10</f>
        <v>0</v>
      </c>
      <c r="F119" s="211">
        <f>'Bud C Trav Exp'!Z10</f>
        <v>0</v>
      </c>
      <c r="G119" s="211">
        <f>'Bud C Trav Exp'!AF10</f>
        <v>0</v>
      </c>
      <c r="H119" s="211">
        <f>'Bud C Trav Exp'!AM10</f>
        <v>0</v>
      </c>
      <c r="I119" s="211">
        <f>'Bud C Trav Exp'!AT10</f>
        <v>0</v>
      </c>
      <c r="J119" s="248">
        <f t="shared" si="9"/>
        <v>0</v>
      </c>
    </row>
    <row r="120" spans="1:10" ht="15.75">
      <c r="A120" s="141">
        <f>'Bud C Trav Exp'!A11</f>
        <v>9</v>
      </c>
      <c r="B120" s="141">
        <f>IF('Bud C Trav Exp'!B11="","",'Bud C Trav Exp'!B11)</f>
      </c>
      <c r="C120" s="141">
        <f>IF('Bud C Trav Exp'!C11="","",'Bud C Trav Exp'!C11)</f>
      </c>
      <c r="D120" s="141">
        <f>IF('Bud C Trav Exp'!D11="","",'Bud C Trav Exp'!E11)</f>
      </c>
      <c r="E120" s="211">
        <f>'Bud C Trav Exp'!Q11</f>
        <v>0</v>
      </c>
      <c r="F120" s="211">
        <f>'Bud C Trav Exp'!Z11</f>
        <v>0</v>
      </c>
      <c r="G120" s="211">
        <f>'Bud C Trav Exp'!AF11</f>
        <v>0</v>
      </c>
      <c r="H120" s="211">
        <f>'Bud C Trav Exp'!AM11</f>
        <v>0</v>
      </c>
      <c r="I120" s="211">
        <f>'Bud C Trav Exp'!AT11</f>
        <v>0</v>
      </c>
      <c r="J120" s="248">
        <f t="shared" si="9"/>
        <v>0</v>
      </c>
    </row>
    <row r="121" spans="1:10" ht="15.75">
      <c r="A121" s="141">
        <f>'Bud C Trav Exp'!A12</f>
        <v>10</v>
      </c>
      <c r="B121" s="141">
        <f>IF('Bud C Trav Exp'!B12="","",'Bud C Trav Exp'!B12)</f>
      </c>
      <c r="C121" s="141">
        <f>IF('Bud C Trav Exp'!C12="","",'Bud C Trav Exp'!C12)</f>
      </c>
      <c r="D121" s="141">
        <f>IF('Bud C Trav Exp'!D12="","",'Bud C Trav Exp'!E12)</f>
      </c>
      <c r="E121" s="211">
        <f>'Bud C Trav Exp'!Q12</f>
        <v>0</v>
      </c>
      <c r="F121" s="211">
        <f>'Bud C Trav Exp'!Z12</f>
        <v>0</v>
      </c>
      <c r="G121" s="211">
        <f>'Bud C Trav Exp'!AF12</f>
        <v>0</v>
      </c>
      <c r="H121" s="211">
        <f>'Bud C Trav Exp'!AM12</f>
        <v>0</v>
      </c>
      <c r="I121" s="211">
        <f>'Bud C Trav Exp'!AT12</f>
        <v>0</v>
      </c>
      <c r="J121" s="248">
        <f t="shared" si="9"/>
        <v>0</v>
      </c>
    </row>
    <row r="122" spans="1:10" ht="15.75">
      <c r="A122" s="141">
        <f>'Bud C Trav Exp'!A13</f>
        <v>11</v>
      </c>
      <c r="B122" s="141">
        <f>IF('Bud C Trav Exp'!B13="","",'Bud C Trav Exp'!B13)</f>
      </c>
      <c r="C122" s="141">
        <f>IF('Bud C Trav Exp'!C13="","",'Bud C Trav Exp'!C13)</f>
      </c>
      <c r="D122" s="141">
        <f>IF('Bud C Trav Exp'!D13="","",'Bud C Trav Exp'!E13)</f>
      </c>
      <c r="E122" s="211">
        <f>'Bud C Trav Exp'!Q13</f>
        <v>0</v>
      </c>
      <c r="F122" s="211">
        <f>'Bud C Trav Exp'!Z13</f>
        <v>0</v>
      </c>
      <c r="G122" s="211">
        <f>'Bud C Trav Exp'!AF13</f>
        <v>0</v>
      </c>
      <c r="H122" s="211">
        <f>'Bud C Trav Exp'!AM13</f>
        <v>0</v>
      </c>
      <c r="I122" s="211">
        <f>'Bud C Trav Exp'!AT13</f>
        <v>0</v>
      </c>
      <c r="J122" s="248">
        <f t="shared" si="9"/>
        <v>0</v>
      </c>
    </row>
    <row r="123" spans="1:10" ht="15.75">
      <c r="A123" s="141">
        <f>'Bud C Trav Exp'!A14</f>
        <v>12</v>
      </c>
      <c r="B123" s="141">
        <f>IF('Bud C Trav Exp'!B14="","",'Bud C Trav Exp'!B14)</f>
      </c>
      <c r="C123" s="141">
        <f>IF('Bud C Trav Exp'!C14="","",'Bud C Trav Exp'!C14)</f>
      </c>
      <c r="D123" s="141">
        <f>IF('Bud C Trav Exp'!D14="","",'Bud C Trav Exp'!E14)</f>
      </c>
      <c r="E123" s="211">
        <f>'Bud C Trav Exp'!Q14</f>
        <v>0</v>
      </c>
      <c r="F123" s="211">
        <f>'Bud C Trav Exp'!Z14</f>
        <v>0</v>
      </c>
      <c r="G123" s="211">
        <f>'Bud C Trav Exp'!AF14</f>
        <v>0</v>
      </c>
      <c r="H123" s="211">
        <f>'Bud C Trav Exp'!AM14</f>
        <v>0</v>
      </c>
      <c r="I123" s="211">
        <f>'Bud C Trav Exp'!AT14</f>
        <v>0</v>
      </c>
      <c r="J123" s="248">
        <f t="shared" si="9"/>
        <v>0</v>
      </c>
    </row>
    <row r="124" spans="1:10" ht="15.75">
      <c r="A124" s="141">
        <f>'Bud C Trav Exp'!A15</f>
        <v>13</v>
      </c>
      <c r="B124" s="141">
        <f>IF('Bud C Trav Exp'!B15="","",'Bud C Trav Exp'!B15)</f>
      </c>
      <c r="C124" s="141">
        <f>IF('Bud C Trav Exp'!C15="","",'Bud C Trav Exp'!C15)</f>
      </c>
      <c r="D124" s="141">
        <f>IF('Bud C Trav Exp'!D15="","",'Bud C Trav Exp'!E15)</f>
      </c>
      <c r="E124" s="211">
        <f>'Bud C Trav Exp'!Q15</f>
        <v>0</v>
      </c>
      <c r="F124" s="211">
        <f>'Bud C Trav Exp'!Z15</f>
        <v>0</v>
      </c>
      <c r="G124" s="211">
        <f>'Bud C Trav Exp'!AF15</f>
        <v>0</v>
      </c>
      <c r="H124" s="211">
        <f>'Bud C Trav Exp'!AM15</f>
        <v>0</v>
      </c>
      <c r="I124" s="211">
        <f>'Bud C Trav Exp'!AT15</f>
        <v>0</v>
      </c>
      <c r="J124" s="248">
        <f t="shared" si="9"/>
        <v>0</v>
      </c>
    </row>
    <row r="125" spans="1:10" ht="15.75">
      <c r="A125" s="141">
        <f>'Bud C Trav Exp'!A16</f>
        <v>14</v>
      </c>
      <c r="B125" s="141">
        <f>IF('Bud C Trav Exp'!B16="","",'Bud C Trav Exp'!B16)</f>
      </c>
      <c r="C125" s="141">
        <f>IF('Bud C Trav Exp'!C16="","",'Bud C Trav Exp'!C16)</f>
      </c>
      <c r="D125" s="141">
        <f>IF('Bud C Trav Exp'!D16="","",'Bud C Trav Exp'!E16)</f>
      </c>
      <c r="E125" s="211">
        <f>'Bud C Trav Exp'!Q16</f>
        <v>0</v>
      </c>
      <c r="F125" s="211">
        <f>'Bud C Trav Exp'!Z16</f>
        <v>0</v>
      </c>
      <c r="G125" s="211">
        <f>'Bud C Trav Exp'!AF16</f>
        <v>0</v>
      </c>
      <c r="H125" s="211">
        <f>'Bud C Trav Exp'!AM16</f>
        <v>0</v>
      </c>
      <c r="I125" s="211">
        <f>'Bud C Trav Exp'!AT16</f>
        <v>0</v>
      </c>
      <c r="J125" s="248">
        <f t="shared" si="9"/>
        <v>0</v>
      </c>
    </row>
    <row r="126" spans="1:10" ht="15.75">
      <c r="A126" s="141">
        <f>'Bud C Trav Exp'!A17</f>
        <v>15</v>
      </c>
      <c r="B126" s="141">
        <f>IF('Bud C Trav Exp'!B17="","",'Bud C Trav Exp'!B17)</f>
      </c>
      <c r="C126" s="141">
        <f>IF('Bud C Trav Exp'!C17="","",'Bud C Trav Exp'!C17)</f>
      </c>
      <c r="D126" s="141">
        <f>IF('Bud C Trav Exp'!D17="","",'Bud C Trav Exp'!E17)</f>
      </c>
      <c r="E126" s="211">
        <f>'Bud C Trav Exp'!Q17</f>
        <v>0</v>
      </c>
      <c r="F126" s="211">
        <f>'Bud C Trav Exp'!Z17</f>
        <v>0</v>
      </c>
      <c r="G126" s="211">
        <f>'Bud C Trav Exp'!AF17</f>
        <v>0</v>
      </c>
      <c r="H126" s="211">
        <f>'Bud C Trav Exp'!AM17</f>
        <v>0</v>
      </c>
      <c r="I126" s="211">
        <f>'Bud C Trav Exp'!AT17</f>
        <v>0</v>
      </c>
      <c r="J126" s="248">
        <f t="shared" si="9"/>
        <v>0</v>
      </c>
    </row>
    <row r="127" spans="1:10" ht="15.75">
      <c r="A127" s="141">
        <f>'Bud C Trav Exp'!A18</f>
        <v>16</v>
      </c>
      <c r="B127" s="141">
        <f>IF('Bud C Trav Exp'!B18="","",'Bud C Trav Exp'!B18)</f>
      </c>
      <c r="C127" s="141">
        <f>IF('Bud C Trav Exp'!C18="","",'Bud C Trav Exp'!C18)</f>
      </c>
      <c r="D127" s="141">
        <f>IF('Bud C Trav Exp'!D18="","",'Bud C Trav Exp'!E18)</f>
      </c>
      <c r="E127" s="211">
        <f>'Bud C Trav Exp'!Q18</f>
        <v>0</v>
      </c>
      <c r="F127" s="211">
        <f>'Bud C Trav Exp'!Z18</f>
        <v>0</v>
      </c>
      <c r="G127" s="211">
        <f>'Bud C Trav Exp'!AF18</f>
        <v>0</v>
      </c>
      <c r="H127" s="211">
        <f>'Bud C Trav Exp'!AM18</f>
        <v>0</v>
      </c>
      <c r="I127" s="211">
        <f>'Bud C Trav Exp'!AT18</f>
        <v>0</v>
      </c>
      <c r="J127" s="248">
        <f t="shared" si="9"/>
        <v>0</v>
      </c>
    </row>
    <row r="128" spans="1:10" ht="15.75">
      <c r="A128" s="141">
        <f>'Bud C Trav Exp'!A19</f>
        <v>17</v>
      </c>
      <c r="B128" s="141">
        <f>IF('Bud C Trav Exp'!B19="","",'Bud C Trav Exp'!B19)</f>
      </c>
      <c r="C128" s="141">
        <f>IF('Bud C Trav Exp'!C19="","",'Bud C Trav Exp'!C19)</f>
      </c>
      <c r="D128" s="141">
        <f>IF('Bud C Trav Exp'!D19="","",'Bud C Trav Exp'!E19)</f>
      </c>
      <c r="E128" s="211">
        <f>'Bud C Trav Exp'!Q19</f>
        <v>0</v>
      </c>
      <c r="F128" s="211">
        <f>'Bud C Trav Exp'!Z19</f>
        <v>0</v>
      </c>
      <c r="G128" s="211">
        <f>'Bud C Trav Exp'!AF19</f>
        <v>0</v>
      </c>
      <c r="H128" s="211">
        <f>'Bud C Trav Exp'!AM19</f>
        <v>0</v>
      </c>
      <c r="I128" s="211">
        <f>'Bud C Trav Exp'!AT19</f>
        <v>0</v>
      </c>
      <c r="J128" s="248">
        <f t="shared" si="9"/>
        <v>0</v>
      </c>
    </row>
    <row r="129" spans="1:10" ht="15.75">
      <c r="A129" s="141">
        <f>'Bud C Trav Exp'!A20</f>
        <v>18</v>
      </c>
      <c r="B129" s="141">
        <f>IF('Bud C Trav Exp'!B20="","",'Bud C Trav Exp'!B20)</f>
      </c>
      <c r="C129" s="141">
        <f>IF('Bud C Trav Exp'!C20="","",'Bud C Trav Exp'!C20)</f>
      </c>
      <c r="D129" s="141">
        <f>IF('Bud C Trav Exp'!D20="","",'Bud C Trav Exp'!E20)</f>
      </c>
      <c r="E129" s="211">
        <f>'Bud C Trav Exp'!Q20</f>
        <v>0</v>
      </c>
      <c r="F129" s="211">
        <f>'Bud C Trav Exp'!Z20</f>
        <v>0</v>
      </c>
      <c r="G129" s="211">
        <f>'Bud C Trav Exp'!AF20</f>
        <v>0</v>
      </c>
      <c r="H129" s="211">
        <f>'Bud C Trav Exp'!AM20</f>
        <v>0</v>
      </c>
      <c r="I129" s="211">
        <f>'Bud C Trav Exp'!AT20</f>
        <v>0</v>
      </c>
      <c r="J129" s="248">
        <f t="shared" si="9"/>
        <v>0</v>
      </c>
    </row>
    <row r="130" spans="1:10" ht="15.75">
      <c r="A130" s="141">
        <f>'Bud C Trav Exp'!A21</f>
        <v>19</v>
      </c>
      <c r="B130" s="141">
        <f>IF('Bud C Trav Exp'!B21="","",'Bud C Trav Exp'!B21)</f>
      </c>
      <c r="C130" s="141">
        <f>IF('Bud C Trav Exp'!C21="","",'Bud C Trav Exp'!C21)</f>
      </c>
      <c r="D130" s="141">
        <f>IF('Bud C Trav Exp'!D21="","",'Bud C Trav Exp'!E21)</f>
      </c>
      <c r="E130" s="211">
        <f>'Bud C Trav Exp'!Q21</f>
        <v>0</v>
      </c>
      <c r="F130" s="211">
        <f>'Bud C Trav Exp'!Z21</f>
        <v>0</v>
      </c>
      <c r="G130" s="211">
        <f>'Bud C Trav Exp'!AF21</f>
        <v>0</v>
      </c>
      <c r="H130" s="211">
        <f>'Bud C Trav Exp'!AM21</f>
        <v>0</v>
      </c>
      <c r="I130" s="211">
        <f>'Bud C Trav Exp'!AT21</f>
        <v>0</v>
      </c>
      <c r="J130" s="248">
        <f t="shared" si="9"/>
        <v>0</v>
      </c>
    </row>
    <row r="131" spans="1:10" ht="15.75">
      <c r="A131" s="141">
        <f>'Bud C Trav Exp'!A22</f>
        <v>20</v>
      </c>
      <c r="B131" s="141">
        <f>IF('Bud C Trav Exp'!B22="","",'Bud C Trav Exp'!B22)</f>
      </c>
      <c r="C131" s="141">
        <f>IF('Bud C Trav Exp'!C22="","",'Bud C Trav Exp'!C22)</f>
      </c>
      <c r="D131" s="141">
        <f>IF('Bud C Trav Exp'!D22="","",'Bud C Trav Exp'!E22)</f>
      </c>
      <c r="E131" s="211">
        <f>'Bud C Trav Exp'!Q22</f>
        <v>0</v>
      </c>
      <c r="F131" s="211">
        <f>'Bud C Trav Exp'!Z22</f>
        <v>0</v>
      </c>
      <c r="G131" s="211">
        <f>'Bud C Trav Exp'!AF22</f>
        <v>0</v>
      </c>
      <c r="H131" s="211">
        <f>'Bud C Trav Exp'!AM22</f>
        <v>0</v>
      </c>
      <c r="I131" s="211">
        <f>'Bud C Trav Exp'!AT22</f>
        <v>0</v>
      </c>
      <c r="J131" s="248">
        <f t="shared" si="9"/>
        <v>0</v>
      </c>
    </row>
    <row r="132" spans="1:10" ht="15.75">
      <c r="A132" s="141"/>
      <c r="B132" s="23" t="s">
        <v>336</v>
      </c>
      <c r="C132" s="23"/>
      <c r="D132" s="23">
        <f>IF('Bud C Trav Exp'!D23="","",'Bud C Trav Exp'!E23)</f>
      </c>
      <c r="E132" s="211">
        <f>H132</f>
        <v>3</v>
      </c>
      <c r="F132" s="211"/>
      <c r="G132" s="211"/>
      <c r="H132" s="211">
        <f>'Bud In-Kind'!D22</f>
        <v>3</v>
      </c>
      <c r="I132" s="211"/>
      <c r="J132" s="248">
        <f t="shared" si="9"/>
        <v>0</v>
      </c>
    </row>
    <row r="133" spans="1:10" ht="16.5" thickBot="1">
      <c r="A133" s="141"/>
      <c r="B133" s="23" t="s">
        <v>339</v>
      </c>
      <c r="C133" s="23"/>
      <c r="D133" s="23"/>
      <c r="E133" s="241">
        <f aca="true" t="shared" si="10" ref="E133:J133">SUM(E112:E132)</f>
        <v>2760</v>
      </c>
      <c r="F133" s="241">
        <f t="shared" si="10"/>
        <v>1654.2</v>
      </c>
      <c r="G133" s="241">
        <f t="shared" si="10"/>
        <v>551.4000000000001</v>
      </c>
      <c r="H133" s="241">
        <f t="shared" si="10"/>
        <v>554.4000000000001</v>
      </c>
      <c r="I133" s="241">
        <f t="shared" si="10"/>
        <v>0</v>
      </c>
      <c r="J133" s="241">
        <f t="shared" si="10"/>
        <v>0</v>
      </c>
    </row>
    <row r="134" spans="1:10" s="23" customFormat="1" ht="15.75">
      <c r="A134" s="141"/>
      <c r="B134" s="23" t="s">
        <v>346</v>
      </c>
      <c r="E134" s="242">
        <f>+I133</f>
        <v>0</v>
      </c>
      <c r="F134" s="242"/>
      <c r="G134" s="242"/>
      <c r="H134" s="242"/>
      <c r="I134" s="242"/>
      <c r="J134" s="242"/>
    </row>
    <row r="135" spans="1:10" s="23" customFormat="1" ht="16.5" thickBot="1">
      <c r="A135" s="141"/>
      <c r="B135" s="23" t="s">
        <v>345</v>
      </c>
      <c r="E135" s="251">
        <f>+E133-E134</f>
        <v>2760</v>
      </c>
      <c r="F135" s="242"/>
      <c r="G135" s="242"/>
      <c r="H135" s="242"/>
      <c r="I135" s="242"/>
      <c r="J135" s="242"/>
    </row>
    <row r="136" spans="1:10" ht="16.5" thickTop="1">
      <c r="A136" s="141"/>
      <c r="B136" s="23"/>
      <c r="C136" s="23"/>
      <c r="D136" s="243" t="s">
        <v>59</v>
      </c>
      <c r="E136" s="245">
        <f>E133-J18</f>
        <v>0</v>
      </c>
      <c r="F136" s="8"/>
      <c r="G136" s="8"/>
      <c r="H136" s="8"/>
      <c r="I136" s="8"/>
      <c r="J136" s="248"/>
    </row>
    <row r="137" spans="1:10" s="23" customFormat="1" ht="15.75">
      <c r="A137" s="141"/>
      <c r="D137" s="243"/>
      <c r="E137" s="245"/>
      <c r="F137" s="8"/>
      <c r="G137" s="8"/>
      <c r="H137" s="8"/>
      <c r="I137" s="8"/>
      <c r="J137" s="248"/>
    </row>
    <row r="138" spans="1:10" ht="32.25" thickBot="1">
      <c r="A138" s="237" t="s">
        <v>344</v>
      </c>
      <c r="B138" s="23"/>
      <c r="C138" s="23"/>
      <c r="D138" s="23"/>
      <c r="E138" s="54" t="s">
        <v>340</v>
      </c>
      <c r="F138" s="54" t="s">
        <v>88</v>
      </c>
      <c r="G138" s="54" t="s">
        <v>309</v>
      </c>
      <c r="H138" s="54" t="s">
        <v>314</v>
      </c>
      <c r="I138" s="54" t="s">
        <v>331</v>
      </c>
      <c r="J138" s="247" t="s">
        <v>59</v>
      </c>
    </row>
    <row r="139" spans="1:10" ht="15.75">
      <c r="A139" s="141">
        <f>'Bud D - H Other Exp'!A3</f>
        <v>1</v>
      </c>
      <c r="B139" s="141" t="str">
        <f>IF('Bud D - H Other Exp'!B3="","",'Bud D - H Other Exp'!B3)</f>
        <v>Desktop Computer</v>
      </c>
      <c r="C139" s="141"/>
      <c r="D139" s="23"/>
      <c r="E139" s="8">
        <f>'Bud D - H Other Exp'!J3</f>
        <v>1500</v>
      </c>
      <c r="F139" s="8">
        <f>'Bud D - H Other Exp'!Q3</f>
        <v>900</v>
      </c>
      <c r="G139" s="8">
        <f>'Bud D - H Other Exp'!X3</f>
        <v>300</v>
      </c>
      <c r="H139" s="8">
        <f>'Bud D - H Other Exp'!AE3</f>
        <v>225</v>
      </c>
      <c r="I139" s="8">
        <f>'Bud D - H Other Exp'!AL3</f>
        <v>75</v>
      </c>
      <c r="J139" s="248">
        <f aca="true" t="shared" si="11" ref="J139:J147">E139-SUM(F139:I139)</f>
        <v>0</v>
      </c>
    </row>
    <row r="140" spans="1:10" ht="15.75">
      <c r="A140" s="141">
        <f>'Bud D - H Other Exp'!A4</f>
        <v>2</v>
      </c>
      <c r="B140" s="141" t="str">
        <f>IF('Bud D - H Other Exp'!B4="","",'Bud D - H Other Exp'!B4)</f>
        <v>Printer</v>
      </c>
      <c r="C140" s="23"/>
      <c r="D140" s="23"/>
      <c r="E140" s="8">
        <f>'Bud D - H Other Exp'!J4</f>
        <v>500</v>
      </c>
      <c r="F140" s="8">
        <f>'Bud D - H Other Exp'!Q4</f>
        <v>300</v>
      </c>
      <c r="G140" s="8">
        <f>'Bud D - H Other Exp'!X4</f>
        <v>100</v>
      </c>
      <c r="H140" s="8">
        <f>'Bud D - H Other Exp'!AE4</f>
        <v>75</v>
      </c>
      <c r="I140" s="8">
        <f>'Bud D - H Other Exp'!AL4</f>
        <v>25</v>
      </c>
      <c r="J140" s="248">
        <f t="shared" si="11"/>
        <v>0</v>
      </c>
    </row>
    <row r="141" spans="1:10" ht="15.75">
      <c r="A141" s="141">
        <f>'Bud D - H Other Exp'!A5</f>
        <v>3</v>
      </c>
      <c r="B141" s="141">
        <f>IF('Bud D - H Other Exp'!B5="","",'Bud D - H Other Exp'!B5)</f>
      </c>
      <c r="C141" s="23"/>
      <c r="D141" s="23"/>
      <c r="E141" s="8">
        <f>'Bud D - H Other Exp'!J5</f>
        <v>0</v>
      </c>
      <c r="F141" s="8">
        <f>'Bud D - H Other Exp'!Q5</f>
        <v>0</v>
      </c>
      <c r="G141" s="8">
        <f>'Bud D - H Other Exp'!X5</f>
        <v>0</v>
      </c>
      <c r="H141" s="8">
        <f>'Bud D - H Other Exp'!AE5</f>
        <v>0</v>
      </c>
      <c r="I141" s="8">
        <f>'Bud D - H Other Exp'!AL5</f>
        <v>0</v>
      </c>
      <c r="J141" s="248">
        <f t="shared" si="11"/>
        <v>0</v>
      </c>
    </row>
    <row r="142" spans="1:10" ht="15.75">
      <c r="A142" s="141">
        <f>'Bud D - H Other Exp'!A6</f>
        <v>4</v>
      </c>
      <c r="B142" s="141">
        <f>IF('Bud D - H Other Exp'!B6="","",'Bud D - H Other Exp'!B6)</f>
      </c>
      <c r="C142" s="23"/>
      <c r="D142" s="23"/>
      <c r="E142" s="8">
        <f>'Bud D - H Other Exp'!J6</f>
        <v>0</v>
      </c>
      <c r="F142" s="8">
        <f>'Bud D - H Other Exp'!Q6</f>
        <v>0</v>
      </c>
      <c r="G142" s="8">
        <f>'Bud D - H Other Exp'!X6</f>
        <v>0</v>
      </c>
      <c r="H142" s="8">
        <f>'Bud D - H Other Exp'!AE6</f>
        <v>0</v>
      </c>
      <c r="I142" s="8">
        <f>'Bud D - H Other Exp'!AL6</f>
        <v>0</v>
      </c>
      <c r="J142" s="248">
        <f t="shared" si="11"/>
        <v>0</v>
      </c>
    </row>
    <row r="143" spans="1:10" ht="15.75">
      <c r="A143" s="141">
        <f>'Bud D - H Other Exp'!A7</f>
        <v>5</v>
      </c>
      <c r="B143" s="141">
        <f>IF('Bud D - H Other Exp'!B7="","",'Bud D - H Other Exp'!B7)</f>
      </c>
      <c r="E143" s="8">
        <f>'Bud D - H Other Exp'!J7</f>
        <v>0</v>
      </c>
      <c r="F143" s="8">
        <f>'Bud D - H Other Exp'!Q7</f>
        <v>0</v>
      </c>
      <c r="G143" s="8">
        <f>'Bud D - H Other Exp'!X7</f>
        <v>0</v>
      </c>
      <c r="H143" s="8">
        <f>'Bud D - H Other Exp'!AE7</f>
        <v>0</v>
      </c>
      <c r="I143" s="8">
        <f>'Bud D - H Other Exp'!AL7</f>
        <v>0</v>
      </c>
      <c r="J143" s="248">
        <f t="shared" si="11"/>
        <v>0</v>
      </c>
    </row>
    <row r="144" spans="1:10" ht="15.75">
      <c r="A144" s="141">
        <f>'Bud D - H Other Exp'!A8</f>
        <v>6</v>
      </c>
      <c r="B144" s="141">
        <f>IF('Bud D - H Other Exp'!B8="","",'Bud D - H Other Exp'!B8)</f>
      </c>
      <c r="E144" s="8">
        <f>'Bud D - H Other Exp'!J8</f>
        <v>0</v>
      </c>
      <c r="F144" s="8">
        <f>'Bud D - H Other Exp'!Q8</f>
        <v>0</v>
      </c>
      <c r="G144" s="8">
        <f>'Bud D - H Other Exp'!X8</f>
        <v>0</v>
      </c>
      <c r="H144" s="8">
        <f>'Bud D - H Other Exp'!AE8</f>
        <v>0</v>
      </c>
      <c r="I144" s="8">
        <f>'Bud D - H Other Exp'!AL8</f>
        <v>0</v>
      </c>
      <c r="J144" s="248">
        <f t="shared" si="11"/>
        <v>0</v>
      </c>
    </row>
    <row r="145" spans="1:10" ht="15.75">
      <c r="A145" s="141">
        <f>'Bud D - H Other Exp'!A9</f>
        <v>7</v>
      </c>
      <c r="B145" s="141">
        <f>IF('Bud D - H Other Exp'!B9="","",'Bud D - H Other Exp'!B9)</f>
      </c>
      <c r="E145" s="8">
        <f>'Bud D - H Other Exp'!J9</f>
        <v>0</v>
      </c>
      <c r="F145" s="8">
        <f>'Bud D - H Other Exp'!Q9</f>
        <v>0</v>
      </c>
      <c r="G145" s="8">
        <f>'Bud D - H Other Exp'!X9</f>
        <v>0</v>
      </c>
      <c r="H145" s="8">
        <f>'Bud D - H Other Exp'!AE9</f>
        <v>0</v>
      </c>
      <c r="I145" s="8">
        <f>'Bud D - H Other Exp'!AL9</f>
        <v>0</v>
      </c>
      <c r="J145" s="248">
        <f t="shared" si="11"/>
        <v>0</v>
      </c>
    </row>
    <row r="146" spans="1:10" ht="15.75">
      <c r="A146" s="141">
        <f>'Bud D - H Other Exp'!A10</f>
        <v>8</v>
      </c>
      <c r="B146" s="141">
        <f>IF('Bud D - H Other Exp'!B10="","",'Bud D - H Other Exp'!B10)</f>
      </c>
      <c r="E146" s="8">
        <f>'Bud D - H Other Exp'!J10</f>
        <v>0</v>
      </c>
      <c r="F146" s="8">
        <f>'Bud D - H Other Exp'!Q10</f>
        <v>0</v>
      </c>
      <c r="G146" s="8">
        <f>'Bud D - H Other Exp'!X10</f>
        <v>0</v>
      </c>
      <c r="H146" s="8">
        <f>'Bud D - H Other Exp'!AE10</f>
        <v>0</v>
      </c>
      <c r="I146" s="8">
        <f>'Bud D - H Other Exp'!AL10</f>
        <v>0</v>
      </c>
      <c r="J146" s="248">
        <f t="shared" si="11"/>
        <v>0</v>
      </c>
    </row>
    <row r="147" spans="1:10" ht="15.75">
      <c r="A147" s="141"/>
      <c r="B147" s="23" t="s">
        <v>336</v>
      </c>
      <c r="E147" s="8">
        <f>H147</f>
        <v>4</v>
      </c>
      <c r="F147" s="8"/>
      <c r="G147" s="8"/>
      <c r="H147" s="8">
        <f>'Bud In-Kind'!F29</f>
        <v>4</v>
      </c>
      <c r="I147" s="8"/>
      <c r="J147" s="248">
        <f t="shared" si="11"/>
        <v>0</v>
      </c>
    </row>
    <row r="148" spans="1:10" ht="16.5" thickBot="1">
      <c r="A148" s="141"/>
      <c r="B148" s="23" t="s">
        <v>339</v>
      </c>
      <c r="E148" s="241">
        <f aca="true" t="shared" si="12" ref="E148:J148">SUM(E139:E147)</f>
        <v>2004</v>
      </c>
      <c r="F148" s="241">
        <f t="shared" si="12"/>
        <v>1200</v>
      </c>
      <c r="G148" s="241">
        <f t="shared" si="12"/>
        <v>400</v>
      </c>
      <c r="H148" s="241">
        <f t="shared" si="12"/>
        <v>304</v>
      </c>
      <c r="I148" s="241">
        <f t="shared" si="12"/>
        <v>100</v>
      </c>
      <c r="J148" s="241">
        <f t="shared" si="12"/>
        <v>0</v>
      </c>
    </row>
    <row r="149" spans="1:10" s="23" customFormat="1" ht="15.75">
      <c r="A149" s="141"/>
      <c r="B149" s="23" t="s">
        <v>346</v>
      </c>
      <c r="E149" s="242">
        <f>+I148</f>
        <v>100</v>
      </c>
      <c r="F149" s="242"/>
      <c r="G149" s="242"/>
      <c r="H149" s="242"/>
      <c r="I149" s="242"/>
      <c r="J149" s="242"/>
    </row>
    <row r="150" spans="1:10" s="23" customFormat="1" ht="16.5" thickBot="1">
      <c r="A150" s="141"/>
      <c r="B150" s="23" t="s">
        <v>345</v>
      </c>
      <c r="E150" s="251">
        <f>+E148-E149</f>
        <v>1904</v>
      </c>
      <c r="F150" s="242"/>
      <c r="G150" s="242"/>
      <c r="H150" s="242"/>
      <c r="I150" s="242"/>
      <c r="J150" s="242"/>
    </row>
    <row r="151" spans="1:10" s="23" customFormat="1" ht="16.5" thickTop="1">
      <c r="A151" s="141"/>
      <c r="D151" s="243" t="s">
        <v>59</v>
      </c>
      <c r="E151" s="245">
        <f>E150-J19</f>
        <v>0</v>
      </c>
      <c r="J151" s="248"/>
    </row>
    <row r="152" spans="1:10" s="23" customFormat="1" ht="15.75">
      <c r="A152" s="141"/>
      <c r="D152" s="243"/>
      <c r="E152" s="245"/>
      <c r="J152" s="248"/>
    </row>
    <row r="153" spans="1:10" ht="32.25" thickBot="1">
      <c r="A153" s="237" t="str">
        <f>'Bud D - H Other Exp'!A13</f>
        <v>E.  Supplies</v>
      </c>
      <c r="E153" s="54" t="s">
        <v>340</v>
      </c>
      <c r="F153" s="54" t="s">
        <v>88</v>
      </c>
      <c r="G153" s="54" t="s">
        <v>309</v>
      </c>
      <c r="H153" s="54" t="s">
        <v>314</v>
      </c>
      <c r="I153" s="54" t="s">
        <v>331</v>
      </c>
      <c r="J153" s="247" t="s">
        <v>59</v>
      </c>
    </row>
    <row r="154" spans="1:10" ht="15.75">
      <c r="A154" s="141">
        <f>'Bud D - H Other Exp'!A14</f>
        <v>1</v>
      </c>
      <c r="B154" s="141" t="str">
        <f>IF('Bud D - H Other Exp'!B14="","",'Bud D - H Other Exp'!B14)</f>
        <v>Copier</v>
      </c>
      <c r="C154" s="141"/>
      <c r="D154" s="23"/>
      <c r="E154" s="8">
        <f>'Bud D - H Other Exp'!J14</f>
        <v>1800</v>
      </c>
      <c r="F154" s="8">
        <f>'Bud D - H Other Exp'!Q14</f>
        <v>1080</v>
      </c>
      <c r="G154" s="8">
        <f>'Bud D - H Other Exp'!X14</f>
        <v>360</v>
      </c>
      <c r="H154" s="8">
        <f>'Bud D - H Other Exp'!AE14</f>
        <v>270</v>
      </c>
      <c r="I154" s="8">
        <f>'Bud D - H Other Exp'!AL14</f>
        <v>90</v>
      </c>
      <c r="J154" s="248">
        <f aca="true" t="shared" si="13" ref="J154:J162">E154-SUM(F154:I154)</f>
        <v>0</v>
      </c>
    </row>
    <row r="155" spans="1:10" ht="15.75">
      <c r="A155" s="141">
        <f>'Bud D - H Other Exp'!A15</f>
        <v>2</v>
      </c>
      <c r="B155" s="141" t="str">
        <f>IF('Bud D - H Other Exp'!B15="","",'Bud D - H Other Exp'!B15)</f>
        <v>Postage</v>
      </c>
      <c r="C155" s="141"/>
      <c r="D155" s="23"/>
      <c r="E155" s="8">
        <f>'Bud D - H Other Exp'!J15</f>
        <v>180</v>
      </c>
      <c r="F155" s="8">
        <f>'Bud D - H Other Exp'!Q15</f>
        <v>108</v>
      </c>
      <c r="G155" s="8">
        <f>'Bud D - H Other Exp'!X15</f>
        <v>36</v>
      </c>
      <c r="H155" s="8">
        <f>'Bud D - H Other Exp'!AE15</f>
        <v>27</v>
      </c>
      <c r="I155" s="8">
        <f>'Bud D - H Other Exp'!AL15</f>
        <v>9</v>
      </c>
      <c r="J155" s="248">
        <f t="shared" si="13"/>
        <v>0</v>
      </c>
    </row>
    <row r="156" spans="1:10" ht="15.75">
      <c r="A156" s="141">
        <f>'Bud D - H Other Exp'!A16</f>
        <v>3</v>
      </c>
      <c r="B156" s="141" t="str">
        <f>IF('Bud D - H Other Exp'!B16="","",'Bud D - H Other Exp'!B16)</f>
        <v>Office Supplies</v>
      </c>
      <c r="C156" s="141"/>
      <c r="D156" s="23"/>
      <c r="E156" s="8">
        <f>'Bud D - H Other Exp'!J16</f>
        <v>1800</v>
      </c>
      <c r="F156" s="8">
        <f>'Bud D - H Other Exp'!Q16</f>
        <v>1080</v>
      </c>
      <c r="G156" s="8">
        <f>'Bud D - H Other Exp'!X16</f>
        <v>360</v>
      </c>
      <c r="H156" s="8">
        <f>'Bud D - H Other Exp'!AE16</f>
        <v>270</v>
      </c>
      <c r="I156" s="8">
        <f>'Bud D - H Other Exp'!AL16</f>
        <v>90</v>
      </c>
      <c r="J156" s="248">
        <f t="shared" si="13"/>
        <v>0</v>
      </c>
    </row>
    <row r="157" spans="1:10" ht="15.75">
      <c r="A157" s="141">
        <f>'Bud D - H Other Exp'!A17</f>
        <v>4</v>
      </c>
      <c r="B157" s="141">
        <f>IF('Bud D - H Other Exp'!B17="","",'Bud D - H Other Exp'!B17)</f>
      </c>
      <c r="C157" s="141"/>
      <c r="D157" s="23"/>
      <c r="E157" s="8">
        <f>'Bud D - H Other Exp'!J17</f>
        <v>0</v>
      </c>
      <c r="F157" s="8">
        <f>'Bud D - H Other Exp'!Q17</f>
        <v>0</v>
      </c>
      <c r="G157" s="8">
        <f>'Bud D - H Other Exp'!X17</f>
        <v>0</v>
      </c>
      <c r="H157" s="8">
        <f>'Bud D - H Other Exp'!AE17</f>
        <v>0</v>
      </c>
      <c r="I157" s="8">
        <f>'Bud D - H Other Exp'!AL17</f>
        <v>0</v>
      </c>
      <c r="J157" s="248">
        <f t="shared" si="13"/>
        <v>0</v>
      </c>
    </row>
    <row r="158" spans="1:10" ht="15.75">
      <c r="A158" s="141">
        <f>'Bud D - H Other Exp'!A18</f>
        <v>5</v>
      </c>
      <c r="B158" s="141">
        <f>IF('Bud D - H Other Exp'!B18="","",'Bud D - H Other Exp'!B18)</f>
      </c>
      <c r="C158" s="141"/>
      <c r="D158" s="23"/>
      <c r="E158" s="8">
        <f>'Bud D - H Other Exp'!J18</f>
        <v>0</v>
      </c>
      <c r="F158" s="8">
        <f>'Bud D - H Other Exp'!Q18</f>
        <v>0</v>
      </c>
      <c r="G158" s="8">
        <f>'Bud D - H Other Exp'!X18</f>
        <v>0</v>
      </c>
      <c r="H158" s="8">
        <f>'Bud D - H Other Exp'!AE18</f>
        <v>0</v>
      </c>
      <c r="I158" s="8">
        <f>'Bud D - H Other Exp'!AL18</f>
        <v>0</v>
      </c>
      <c r="J158" s="248">
        <f t="shared" si="13"/>
        <v>0</v>
      </c>
    </row>
    <row r="159" spans="1:10" ht="15.75">
      <c r="A159" s="141">
        <f>'Bud D - H Other Exp'!A19</f>
        <v>6</v>
      </c>
      <c r="B159" s="141">
        <f>IF('Bud D - H Other Exp'!B19="","",'Bud D - H Other Exp'!B19)</f>
      </c>
      <c r="C159" s="141"/>
      <c r="D159" s="23"/>
      <c r="E159" s="8">
        <f>'Bud D - H Other Exp'!J19</f>
        <v>0</v>
      </c>
      <c r="F159" s="8">
        <f>'Bud D - H Other Exp'!Q19</f>
        <v>0</v>
      </c>
      <c r="G159" s="8">
        <f>'Bud D - H Other Exp'!X19</f>
        <v>0</v>
      </c>
      <c r="H159" s="8">
        <f>'Bud D - H Other Exp'!AE19</f>
        <v>0</v>
      </c>
      <c r="I159" s="8">
        <f>'Bud D - H Other Exp'!AL19</f>
        <v>0</v>
      </c>
      <c r="J159" s="248">
        <f t="shared" si="13"/>
        <v>0</v>
      </c>
    </row>
    <row r="160" spans="1:10" ht="15.75">
      <c r="A160" s="141">
        <f>'Bud D - H Other Exp'!A20</f>
        <v>7</v>
      </c>
      <c r="B160" s="141">
        <f>IF('Bud D - H Other Exp'!B20="","",'Bud D - H Other Exp'!B20)</f>
      </c>
      <c r="C160" s="141"/>
      <c r="D160" s="23"/>
      <c r="E160" s="8">
        <f>'Bud D - H Other Exp'!J20</f>
        <v>0</v>
      </c>
      <c r="F160" s="8">
        <f>'Bud D - H Other Exp'!Q20</f>
        <v>0</v>
      </c>
      <c r="G160" s="8">
        <f>'Bud D - H Other Exp'!X20</f>
        <v>0</v>
      </c>
      <c r="H160" s="8">
        <f>'Bud D - H Other Exp'!AE20</f>
        <v>0</v>
      </c>
      <c r="I160" s="8">
        <f>'Bud D - H Other Exp'!AL20</f>
        <v>0</v>
      </c>
      <c r="J160" s="248">
        <f t="shared" si="13"/>
        <v>0</v>
      </c>
    </row>
    <row r="161" spans="1:10" ht="15.75">
      <c r="A161" s="141">
        <f>'Bud D - H Other Exp'!A21</f>
        <v>8</v>
      </c>
      <c r="B161" s="141">
        <f>IF('Bud D - H Other Exp'!B21="","",'Bud D - H Other Exp'!B21)</f>
      </c>
      <c r="C161" s="141"/>
      <c r="D161" s="23"/>
      <c r="E161" s="8">
        <f>'Bud D - H Other Exp'!J21</f>
        <v>0</v>
      </c>
      <c r="F161" s="8">
        <f>'Bud D - H Other Exp'!Q21</f>
        <v>0</v>
      </c>
      <c r="G161" s="8">
        <f>'Bud D - H Other Exp'!X21</f>
        <v>0</v>
      </c>
      <c r="H161" s="8">
        <f>'Bud D - H Other Exp'!AE21</f>
        <v>0</v>
      </c>
      <c r="I161" s="8">
        <f>'Bud D - H Other Exp'!AL21</f>
        <v>0</v>
      </c>
      <c r="J161" s="248">
        <f t="shared" si="13"/>
        <v>0</v>
      </c>
    </row>
    <row r="162" spans="1:10" ht="15.75">
      <c r="A162" s="141"/>
      <c r="B162" s="23" t="s">
        <v>336</v>
      </c>
      <c r="E162" s="8">
        <f>H162</f>
        <v>8</v>
      </c>
      <c r="F162" s="8"/>
      <c r="G162" s="8"/>
      <c r="H162" s="8">
        <f>'Bud In-Kind'!D36</f>
        <v>8</v>
      </c>
      <c r="I162" s="8"/>
      <c r="J162" s="248">
        <f t="shared" si="13"/>
        <v>0</v>
      </c>
    </row>
    <row r="163" spans="1:10" s="23" customFormat="1" ht="16.5" thickBot="1">
      <c r="A163" s="141"/>
      <c r="B163" s="23" t="s">
        <v>339</v>
      </c>
      <c r="E163" s="241">
        <f aca="true" t="shared" si="14" ref="E163:J163">SUM(E154:E162)</f>
        <v>3788</v>
      </c>
      <c r="F163" s="241">
        <f t="shared" si="14"/>
        <v>2268</v>
      </c>
      <c r="G163" s="241">
        <f t="shared" si="14"/>
        <v>756</v>
      </c>
      <c r="H163" s="241">
        <f t="shared" si="14"/>
        <v>575</v>
      </c>
      <c r="I163" s="241">
        <f t="shared" si="14"/>
        <v>189</v>
      </c>
      <c r="J163" s="241">
        <f t="shared" si="14"/>
        <v>0</v>
      </c>
    </row>
    <row r="164" spans="1:10" s="23" customFormat="1" ht="15.75">
      <c r="A164" s="141"/>
      <c r="B164" s="23" t="s">
        <v>346</v>
      </c>
      <c r="E164" s="242">
        <f>+I163</f>
        <v>189</v>
      </c>
      <c r="F164" s="242"/>
      <c r="G164" s="242"/>
      <c r="H164" s="242"/>
      <c r="I164" s="242"/>
      <c r="J164" s="242"/>
    </row>
    <row r="165" spans="1:10" s="23" customFormat="1" ht="16.5" thickBot="1">
      <c r="A165" s="141"/>
      <c r="B165" s="23" t="s">
        <v>345</v>
      </c>
      <c r="E165" s="251">
        <f>+E163-E164</f>
        <v>3599</v>
      </c>
      <c r="F165" s="242"/>
      <c r="G165" s="242"/>
      <c r="H165" s="242"/>
      <c r="I165" s="242"/>
      <c r="J165" s="242"/>
    </row>
    <row r="166" spans="1:10" ht="16.5" thickTop="1">
      <c r="A166" s="141"/>
      <c r="D166" s="243" t="s">
        <v>59</v>
      </c>
      <c r="E166" s="245">
        <f>E165-J20</f>
        <v>0</v>
      </c>
      <c r="J166" s="248">
        <f>E166-SUM(F166:I166)</f>
        <v>0</v>
      </c>
    </row>
    <row r="167" spans="1:10" s="23" customFormat="1" ht="15.75">
      <c r="A167" s="141"/>
      <c r="D167" s="243"/>
      <c r="E167" s="245"/>
      <c r="J167" s="248"/>
    </row>
    <row r="168" spans="1:10" ht="32.25" thickBot="1">
      <c r="A168" s="237" t="str">
        <f>'Bud D - H Other Exp'!A24</f>
        <v>F.  Contractual</v>
      </c>
      <c r="E168" s="54" t="s">
        <v>340</v>
      </c>
      <c r="F168" s="54" t="s">
        <v>88</v>
      </c>
      <c r="G168" s="54" t="s">
        <v>309</v>
      </c>
      <c r="H168" s="54" t="s">
        <v>314</v>
      </c>
      <c r="I168" s="54" t="s">
        <v>331</v>
      </c>
      <c r="J168" s="247" t="s">
        <v>59</v>
      </c>
    </row>
    <row r="169" spans="1:10" ht="15.75">
      <c r="A169" s="141">
        <f>'Bud D - H Other Exp'!A25</f>
        <v>1</v>
      </c>
      <c r="B169" s="141">
        <f>IF('Bud D - H Other Exp'!B27="","",'Bud D - H Other Exp'!B27)</f>
      </c>
      <c r="C169" s="141"/>
      <c r="D169" s="23"/>
      <c r="E169" s="8">
        <f>'Bud D - H Other Exp'!J25</f>
        <v>100</v>
      </c>
      <c r="F169" s="8">
        <f>'Bud D - H Other Exp'!Q25</f>
        <v>60</v>
      </c>
      <c r="G169" s="8">
        <f>'Bud D - H Other Exp'!X25</f>
        <v>20</v>
      </c>
      <c r="H169" s="8">
        <f>'Bud D - H Other Exp'!AE25</f>
        <v>15</v>
      </c>
      <c r="I169" s="8">
        <f>'Bud D - H Other Exp'!AL25</f>
        <v>5</v>
      </c>
      <c r="J169" s="248">
        <f>E169-SUM(F169:I169)</f>
        <v>0</v>
      </c>
    </row>
    <row r="170" spans="1:10" ht="15.75">
      <c r="A170" s="141">
        <f>'Bud D - H Other Exp'!A26</f>
        <v>2</v>
      </c>
      <c r="E170" s="8">
        <f>'Bud D - H Other Exp'!J26</f>
        <v>0</v>
      </c>
      <c r="F170" s="8">
        <f>'Bud D - H Other Exp'!Q26</f>
        <v>0</v>
      </c>
      <c r="G170" s="8">
        <f>'Bud D - H Other Exp'!X26</f>
        <v>0</v>
      </c>
      <c r="H170" s="8">
        <f>'Bud D - H Other Exp'!AE26</f>
        <v>0</v>
      </c>
      <c r="I170" s="8">
        <f>'Bud D - H Other Exp'!AL26</f>
        <v>0</v>
      </c>
      <c r="J170" s="248">
        <f aca="true" t="shared" si="15" ref="J170:J176">E170-SUM(F170:I170)</f>
        <v>0</v>
      </c>
    </row>
    <row r="171" spans="1:10" ht="15.75">
      <c r="A171" s="141">
        <f>'Bud D - H Other Exp'!A27</f>
        <v>3</v>
      </c>
      <c r="E171" s="8">
        <f>'Bud D - H Other Exp'!J27</f>
        <v>0</v>
      </c>
      <c r="F171" s="8">
        <f>'Bud D - H Other Exp'!Q27</f>
        <v>0</v>
      </c>
      <c r="G171" s="8">
        <f>'Bud D - H Other Exp'!X27</f>
        <v>0</v>
      </c>
      <c r="H171" s="8">
        <f>'Bud D - H Other Exp'!AE27</f>
        <v>0</v>
      </c>
      <c r="I171" s="8">
        <f>'Bud D - H Other Exp'!AL27</f>
        <v>0</v>
      </c>
      <c r="J171" s="248">
        <f t="shared" si="15"/>
        <v>0</v>
      </c>
    </row>
    <row r="172" spans="1:10" ht="15.75">
      <c r="A172" s="141">
        <f>'Bud D - H Other Exp'!A28</f>
        <v>4</v>
      </c>
      <c r="E172" s="8">
        <f>'Bud D - H Other Exp'!J28</f>
        <v>0</v>
      </c>
      <c r="F172" s="8">
        <f>'Bud D - H Other Exp'!Q28</f>
        <v>0</v>
      </c>
      <c r="G172" s="8">
        <f>'Bud D - H Other Exp'!X28</f>
        <v>0</v>
      </c>
      <c r="H172" s="8">
        <f>'Bud D - H Other Exp'!AE28</f>
        <v>0</v>
      </c>
      <c r="I172" s="8">
        <f>'Bud D - H Other Exp'!AL28</f>
        <v>0</v>
      </c>
      <c r="J172" s="248">
        <f t="shared" si="15"/>
        <v>0</v>
      </c>
    </row>
    <row r="173" spans="1:10" ht="15.75">
      <c r="A173" s="141">
        <f>'Bud D - H Other Exp'!A29</f>
        <v>5</v>
      </c>
      <c r="E173" s="8">
        <f>'Bud D - H Other Exp'!J29</f>
        <v>0</v>
      </c>
      <c r="F173" s="8">
        <f>'Bud D - H Other Exp'!Q29</f>
        <v>0</v>
      </c>
      <c r="G173" s="8">
        <f>'Bud D - H Other Exp'!X29</f>
        <v>0</v>
      </c>
      <c r="H173" s="8">
        <f>'Bud D - H Other Exp'!AE29</f>
        <v>0</v>
      </c>
      <c r="I173" s="8">
        <f>'Bud D - H Other Exp'!AL29</f>
        <v>0</v>
      </c>
      <c r="J173" s="248">
        <f t="shared" si="15"/>
        <v>0</v>
      </c>
    </row>
    <row r="174" spans="1:10" ht="15.75">
      <c r="A174" s="141">
        <f>'Bud D - H Other Exp'!A30</f>
        <v>6</v>
      </c>
      <c r="E174" s="8">
        <f>'Bud D - H Other Exp'!J30</f>
        <v>0</v>
      </c>
      <c r="F174" s="8">
        <f>'Bud D - H Other Exp'!Q30</f>
        <v>0</v>
      </c>
      <c r="G174" s="8">
        <f>'Bud D - H Other Exp'!X30</f>
        <v>0</v>
      </c>
      <c r="H174" s="8">
        <f>'Bud D - H Other Exp'!AE30</f>
        <v>0</v>
      </c>
      <c r="I174" s="8">
        <f>'Bud D - H Other Exp'!AL30</f>
        <v>0</v>
      </c>
      <c r="J174" s="248">
        <f t="shared" si="15"/>
        <v>0</v>
      </c>
    </row>
    <row r="175" spans="1:10" ht="15.75">
      <c r="A175" s="141">
        <f>'Bud D - H Other Exp'!A31</f>
        <v>7</v>
      </c>
      <c r="E175" s="8">
        <f>'Bud D - H Other Exp'!J31</f>
        <v>0</v>
      </c>
      <c r="F175" s="8">
        <f>'Bud D - H Other Exp'!Q31</f>
        <v>0</v>
      </c>
      <c r="G175" s="8">
        <f>'Bud D - H Other Exp'!X31</f>
        <v>0</v>
      </c>
      <c r="H175" s="8">
        <f>'Bud D - H Other Exp'!AE31</f>
        <v>0</v>
      </c>
      <c r="I175" s="8">
        <f>'Bud D - H Other Exp'!AL31</f>
        <v>0</v>
      </c>
      <c r="J175" s="248">
        <f t="shared" si="15"/>
        <v>0</v>
      </c>
    </row>
    <row r="176" spans="1:10" ht="15.75">
      <c r="A176" s="141">
        <f>'Bud D - H Other Exp'!A32</f>
        <v>8</v>
      </c>
      <c r="E176" s="8">
        <f>'Bud D - H Other Exp'!J32</f>
        <v>0</v>
      </c>
      <c r="F176" s="8">
        <f>'Bud D - H Other Exp'!Q32</f>
        <v>0</v>
      </c>
      <c r="G176" s="8">
        <f>'Bud D - H Other Exp'!X32</f>
        <v>0</v>
      </c>
      <c r="H176" s="8">
        <f>'Bud D - H Other Exp'!AE32</f>
        <v>0</v>
      </c>
      <c r="I176" s="8">
        <f>'Bud D - H Other Exp'!AL32</f>
        <v>0</v>
      </c>
      <c r="J176" s="248">
        <f t="shared" si="15"/>
        <v>0</v>
      </c>
    </row>
    <row r="177" spans="1:10" ht="15.75">
      <c r="A177" s="141"/>
      <c r="B177" s="23" t="s">
        <v>336</v>
      </c>
      <c r="E177" s="8">
        <f>H177</f>
        <v>6</v>
      </c>
      <c r="F177" s="8"/>
      <c r="G177" s="8"/>
      <c r="H177" s="8">
        <f>'Bud In-Kind'!D43</f>
        <v>6</v>
      </c>
      <c r="I177" s="8"/>
      <c r="J177" s="248">
        <f>E177-SUM(F177:I177)</f>
        <v>0</v>
      </c>
    </row>
    <row r="178" spans="1:10" s="23" customFormat="1" ht="16.5" thickBot="1">
      <c r="A178" s="141"/>
      <c r="B178" s="23" t="s">
        <v>339</v>
      </c>
      <c r="E178" s="241">
        <f aca="true" t="shared" si="16" ref="E178:J178">SUM(E169:E177)</f>
        <v>106</v>
      </c>
      <c r="F178" s="241">
        <f t="shared" si="16"/>
        <v>60</v>
      </c>
      <c r="G178" s="241">
        <f t="shared" si="16"/>
        <v>20</v>
      </c>
      <c r="H178" s="241">
        <f t="shared" si="16"/>
        <v>21</v>
      </c>
      <c r="I178" s="241">
        <f t="shared" si="16"/>
        <v>5</v>
      </c>
      <c r="J178" s="241">
        <f t="shared" si="16"/>
        <v>0</v>
      </c>
    </row>
    <row r="179" spans="1:10" s="23" customFormat="1" ht="15.75">
      <c r="A179" s="141"/>
      <c r="B179" s="23" t="s">
        <v>346</v>
      </c>
      <c r="E179" s="242">
        <f>+I178</f>
        <v>5</v>
      </c>
      <c r="F179" s="242"/>
      <c r="G179" s="242"/>
      <c r="H179" s="242"/>
      <c r="I179" s="242"/>
      <c r="J179" s="242"/>
    </row>
    <row r="180" spans="1:10" s="23" customFormat="1" ht="16.5" thickBot="1">
      <c r="A180" s="141"/>
      <c r="B180" s="23" t="s">
        <v>345</v>
      </c>
      <c r="E180" s="251">
        <f>+E178-E179</f>
        <v>101</v>
      </c>
      <c r="F180" s="242"/>
      <c r="G180" s="242"/>
      <c r="H180" s="242"/>
      <c r="I180" s="242"/>
      <c r="J180" s="242"/>
    </row>
    <row r="181" spans="1:10" ht="16.5" thickTop="1">
      <c r="A181" s="141"/>
      <c r="D181" s="243" t="s">
        <v>59</v>
      </c>
      <c r="E181" s="245">
        <f>E180-J21</f>
        <v>0</v>
      </c>
      <c r="J181" s="248">
        <f>E181-SUM(F181:I181)</f>
        <v>0</v>
      </c>
    </row>
    <row r="182" spans="1:10" s="23" customFormat="1" ht="15.75">
      <c r="A182" s="141"/>
      <c r="D182" s="243"/>
      <c r="E182" s="245"/>
      <c r="J182" s="248"/>
    </row>
    <row r="183" spans="1:10" ht="32.25" thickBot="1">
      <c r="A183" s="237" t="str">
        <f>'Bud D - H Other Exp'!A35</f>
        <v>G.  Construction (Do not Budget Here!)</v>
      </c>
      <c r="E183" s="54" t="s">
        <v>340</v>
      </c>
      <c r="F183" s="54" t="s">
        <v>88</v>
      </c>
      <c r="G183" s="54" t="s">
        <v>309</v>
      </c>
      <c r="H183" s="54" t="s">
        <v>314</v>
      </c>
      <c r="I183" s="54" t="s">
        <v>331</v>
      </c>
      <c r="J183" s="247" t="s">
        <v>59</v>
      </c>
    </row>
    <row r="184" spans="1:10" ht="15.75">
      <c r="A184" s="141"/>
      <c r="J184" s="248"/>
    </row>
    <row r="185" spans="1:10" ht="32.25" thickBot="1">
      <c r="A185" s="237" t="str">
        <f>'Bud D - H Other Exp'!A37</f>
        <v>H.  Other</v>
      </c>
      <c r="E185" s="54" t="s">
        <v>340</v>
      </c>
      <c r="F185" s="54" t="s">
        <v>88</v>
      </c>
      <c r="G185" s="54" t="s">
        <v>309</v>
      </c>
      <c r="H185" s="54" t="s">
        <v>314</v>
      </c>
      <c r="I185" s="54" t="s">
        <v>331</v>
      </c>
      <c r="J185" s="247" t="s">
        <v>59</v>
      </c>
    </row>
    <row r="186" spans="1:10" ht="15.75">
      <c r="A186" s="141">
        <f>'Bud D - H Other Exp'!A38</f>
        <v>1</v>
      </c>
      <c r="B186" s="141" t="str">
        <f>IF('Bud D - H Other Exp'!B41="","",'Bud D - H Other Exp'!B41)</f>
        <v>Ads/Marketing</v>
      </c>
      <c r="C186" s="141"/>
      <c r="D186" s="23"/>
      <c r="E186" s="8">
        <f>'Bud D - H Other Exp'!J38</f>
        <v>600</v>
      </c>
      <c r="F186" s="8">
        <f>'Bud D - H Other Exp'!Q38</f>
        <v>360</v>
      </c>
      <c r="G186" s="8">
        <f>'Bud D - H Other Exp'!X38</f>
        <v>120</v>
      </c>
      <c r="H186" s="8">
        <f>'Bud D - H Other Exp'!AE38</f>
        <v>90</v>
      </c>
      <c r="I186" s="8">
        <f>'Bud D - H Other Exp'!AL38</f>
        <v>30</v>
      </c>
      <c r="J186" s="248">
        <f>E186-SUM(F186:I186)</f>
        <v>0</v>
      </c>
    </row>
    <row r="187" spans="1:10" ht="15.75">
      <c r="A187" s="141">
        <f>'Bud D - H Other Exp'!A39</f>
        <v>2</v>
      </c>
      <c r="E187" s="8">
        <f>'Bud D - H Other Exp'!J39</f>
        <v>900</v>
      </c>
      <c r="F187" s="8">
        <f>'Bud D - H Other Exp'!Q39</f>
        <v>540</v>
      </c>
      <c r="G187" s="8">
        <f>'Bud D - H Other Exp'!X39</f>
        <v>180</v>
      </c>
      <c r="H187" s="8">
        <f>'Bud D - H Other Exp'!AE39</f>
        <v>135</v>
      </c>
      <c r="I187" s="8">
        <f>'Bud D - H Other Exp'!AL39</f>
        <v>45</v>
      </c>
      <c r="J187" s="248">
        <f aca="true" t="shared" si="17" ref="J187:J193">E187-SUM(F187:I187)</f>
        <v>0</v>
      </c>
    </row>
    <row r="188" spans="1:10" ht="15.75">
      <c r="A188" s="141">
        <f>'Bud D - H Other Exp'!A40</f>
        <v>3</v>
      </c>
      <c r="E188" s="8">
        <f>'Bud D - H Other Exp'!J40</f>
        <v>300</v>
      </c>
      <c r="F188" s="8">
        <f>'Bud D - H Other Exp'!Q40</f>
        <v>180</v>
      </c>
      <c r="G188" s="8">
        <f>'Bud D - H Other Exp'!X40</f>
        <v>60</v>
      </c>
      <c r="H188" s="8">
        <f>'Bud D - H Other Exp'!AE40</f>
        <v>45</v>
      </c>
      <c r="I188" s="8">
        <f>'Bud D - H Other Exp'!AL40</f>
        <v>15</v>
      </c>
      <c r="J188" s="248">
        <f t="shared" si="17"/>
        <v>0</v>
      </c>
    </row>
    <row r="189" spans="1:10" ht="15.75">
      <c r="A189" s="141">
        <f>'Bud D - H Other Exp'!A41</f>
        <v>4</v>
      </c>
      <c r="E189" s="8">
        <f>'Bud D - H Other Exp'!J41</f>
        <v>1000</v>
      </c>
      <c r="F189" s="8">
        <f>'Bud D - H Other Exp'!Q41</f>
        <v>600</v>
      </c>
      <c r="G189" s="8">
        <f>'Bud D - H Other Exp'!X41</f>
        <v>200</v>
      </c>
      <c r="H189" s="8">
        <f>'Bud D - H Other Exp'!AE41</f>
        <v>150</v>
      </c>
      <c r="I189" s="8">
        <f>'Bud D - H Other Exp'!AL41</f>
        <v>50</v>
      </c>
      <c r="J189" s="248">
        <f t="shared" si="17"/>
        <v>0</v>
      </c>
    </row>
    <row r="190" spans="1:10" ht="15.75">
      <c r="A190" s="141">
        <f>'Bud D - H Other Exp'!A42</f>
        <v>5</v>
      </c>
      <c r="E190" s="8">
        <f>'Bud D - H Other Exp'!J42</f>
        <v>4</v>
      </c>
      <c r="F190" s="8">
        <f>'Bud D - H Other Exp'!Q42</f>
        <v>2.4</v>
      </c>
      <c r="G190" s="8">
        <f>'Bud D - H Other Exp'!X42</f>
        <v>0.8</v>
      </c>
      <c r="H190" s="8">
        <f>'Bud D - H Other Exp'!AE42</f>
        <v>0.6</v>
      </c>
      <c r="I190" s="8">
        <f>'Bud D - H Other Exp'!AL42</f>
        <v>0.2</v>
      </c>
      <c r="J190" s="248">
        <f t="shared" si="17"/>
        <v>0</v>
      </c>
    </row>
    <row r="191" spans="1:10" ht="15.75">
      <c r="A191" s="141">
        <f>'Bud D - H Other Exp'!A43</f>
        <v>6</v>
      </c>
      <c r="E191" s="8">
        <f>'Bud D - H Other Exp'!J43</f>
        <v>0</v>
      </c>
      <c r="F191" s="8">
        <f>'Bud D - H Other Exp'!Q43</f>
        <v>0</v>
      </c>
      <c r="G191" s="8">
        <f>'Bud D - H Other Exp'!X43</f>
        <v>0</v>
      </c>
      <c r="H191" s="8">
        <f>'Bud D - H Other Exp'!AE43</f>
        <v>0</v>
      </c>
      <c r="I191" s="8">
        <f>'Bud D - H Other Exp'!AL43</f>
        <v>0</v>
      </c>
      <c r="J191" s="248">
        <f t="shared" si="17"/>
        <v>0</v>
      </c>
    </row>
    <row r="192" spans="1:10" ht="15.75">
      <c r="A192" s="141">
        <f>'Bud D - H Other Exp'!A44</f>
        <v>7</v>
      </c>
      <c r="E192" s="8">
        <f>'Bud D - H Other Exp'!J44</f>
        <v>0</v>
      </c>
      <c r="F192" s="8">
        <f>'Bud D - H Other Exp'!Q44</f>
        <v>0</v>
      </c>
      <c r="G192" s="8">
        <f>'Bud D - H Other Exp'!X44</f>
        <v>0</v>
      </c>
      <c r="H192" s="8">
        <f>'Bud D - H Other Exp'!AE44</f>
        <v>0</v>
      </c>
      <c r="I192" s="8">
        <f>'Bud D - H Other Exp'!AL44</f>
        <v>0</v>
      </c>
      <c r="J192" s="248">
        <f t="shared" si="17"/>
        <v>0</v>
      </c>
    </row>
    <row r="193" spans="1:10" ht="15.75">
      <c r="A193" s="141">
        <f>'Bud D - H Other Exp'!A45</f>
        <v>8</v>
      </c>
      <c r="E193" s="8">
        <f>'Bud D - H Other Exp'!J45</f>
        <v>0</v>
      </c>
      <c r="F193" s="8">
        <f>'Bud D - H Other Exp'!Q45</f>
        <v>0</v>
      </c>
      <c r="G193" s="8">
        <f>'Bud D - H Other Exp'!X45</f>
        <v>0</v>
      </c>
      <c r="H193" s="8">
        <f>'Bud D - H Other Exp'!AE45</f>
        <v>0</v>
      </c>
      <c r="I193" s="8">
        <f>'Bud D - H Other Exp'!AL45</f>
        <v>0</v>
      </c>
      <c r="J193" s="248">
        <f t="shared" si="17"/>
        <v>0</v>
      </c>
    </row>
    <row r="194" spans="1:10" ht="15.75">
      <c r="A194" s="141"/>
      <c r="B194" s="23" t="s">
        <v>336</v>
      </c>
      <c r="E194" s="8">
        <f>H194</f>
        <v>7</v>
      </c>
      <c r="F194" s="8"/>
      <c r="G194" s="8"/>
      <c r="H194" s="8">
        <f>'Bud In-Kind'!D52</f>
        <v>7</v>
      </c>
      <c r="I194" s="8"/>
      <c r="J194" s="248">
        <f>E194-SUM(F194:I194)</f>
        <v>0</v>
      </c>
    </row>
    <row r="195" spans="1:10" ht="16.5" thickBot="1">
      <c r="A195" s="141"/>
      <c r="B195" s="23" t="s">
        <v>339</v>
      </c>
      <c r="E195" s="241">
        <f aca="true" t="shared" si="18" ref="E195:J195">SUM(E186:E194)</f>
        <v>2811</v>
      </c>
      <c r="F195" s="241">
        <f t="shared" si="18"/>
        <v>1682.4</v>
      </c>
      <c r="G195" s="241">
        <f t="shared" si="18"/>
        <v>560.8</v>
      </c>
      <c r="H195" s="241">
        <f t="shared" si="18"/>
        <v>427.6</v>
      </c>
      <c r="I195" s="241">
        <f t="shared" si="18"/>
        <v>140.2</v>
      </c>
      <c r="J195" s="241">
        <f t="shared" si="18"/>
        <v>0</v>
      </c>
    </row>
    <row r="196" spans="1:10" s="23" customFormat="1" ht="15.75">
      <c r="A196" s="141"/>
      <c r="B196" s="23" t="s">
        <v>346</v>
      </c>
      <c r="E196" s="242">
        <f>+I195</f>
        <v>140.2</v>
      </c>
      <c r="F196" s="242"/>
      <c r="G196" s="242"/>
      <c r="H196" s="242"/>
      <c r="I196" s="242"/>
      <c r="J196" s="242"/>
    </row>
    <row r="197" spans="1:10" s="23" customFormat="1" ht="16.5" thickBot="1">
      <c r="A197" s="141"/>
      <c r="B197" s="23" t="s">
        <v>345</v>
      </c>
      <c r="E197" s="251">
        <f>+E195-E196</f>
        <v>2670.8</v>
      </c>
      <c r="F197" s="242"/>
      <c r="G197" s="242"/>
      <c r="H197" s="242"/>
      <c r="I197" s="242"/>
      <c r="J197" s="242"/>
    </row>
    <row r="198" spans="4:5" ht="16.5" thickTop="1">
      <c r="D198" s="243" t="s">
        <v>59</v>
      </c>
      <c r="E198" s="245">
        <f>E197-J23</f>
        <v>0</v>
      </c>
    </row>
    <row r="199" spans="4:5" s="23" customFormat="1" ht="15.75">
      <c r="D199" s="243"/>
      <c r="E199" s="245"/>
    </row>
    <row r="200" spans="1:6" s="23" customFormat="1" ht="48" thickBot="1">
      <c r="A200" s="91"/>
      <c r="B200" s="309" t="str">
        <f>'Bud In-Kind'!B2</f>
        <v>Description (including units, price, and other detailed assumptions)</v>
      </c>
      <c r="C200" s="309"/>
      <c r="D200"/>
      <c r="E200" s="89" t="str">
        <f>'Bud In-Kind'!C2</f>
        <v>Qtr (1, 2, 3, 4 or All)</v>
      </c>
      <c r="F200" s="89" t="str">
        <f>'Bud In-Kind'!D2</f>
        <v>Annual Budget Total</v>
      </c>
    </row>
    <row r="201" spans="1:8" ht="15.75">
      <c r="A201" s="90" t="str">
        <f>'Bud In-Kind'!A3</f>
        <v>a.  Personnel</v>
      </c>
      <c r="B201" s="84"/>
      <c r="C201" s="68"/>
      <c r="D201" s="68"/>
      <c r="E201" s="220"/>
      <c r="F201" s="69"/>
      <c r="H201" s="23"/>
    </row>
    <row r="202" spans="1:12" ht="15.75">
      <c r="A202" s="123"/>
      <c r="B202" s="262">
        <f>IF('Bud In-Kind'!B4="","",'Bud In-Kind'!B4)</f>
      </c>
      <c r="C202" s="57"/>
      <c r="D202" s="57"/>
      <c r="E202" s="263">
        <f>IF('Bud In-Kind'!C4="","",'Bud In-Kind'!C4)</f>
        <v>1</v>
      </c>
      <c r="F202" s="264">
        <f>'Bud In-Kind'!D4</f>
        <v>1</v>
      </c>
      <c r="H202" s="23"/>
      <c r="L202" s="23"/>
    </row>
    <row r="203" spans="1:12" ht="15.75">
      <c r="A203" s="123"/>
      <c r="B203" s="262">
        <f>IF('Bud In-Kind'!B5="","",'Bud In-Kind'!B5)</f>
      </c>
      <c r="C203" s="57"/>
      <c r="D203" s="57"/>
      <c r="E203" s="263">
        <f>IF('Bud In-Kind'!C5="","",'Bud In-Kind'!C5)</f>
      </c>
      <c r="F203" s="264">
        <f>'Bud In-Kind'!D5</f>
        <v>0</v>
      </c>
      <c r="H203" s="23"/>
      <c r="L203" s="23"/>
    </row>
    <row r="204" spans="1:12" ht="15.75">
      <c r="A204" s="123"/>
      <c r="B204" s="262">
        <f>IF('Bud In-Kind'!B6="","",'Bud In-Kind'!B6)</f>
      </c>
      <c r="C204" s="57"/>
      <c r="D204" s="57"/>
      <c r="E204" s="263">
        <f>IF('Bud In-Kind'!C6="","",'Bud In-Kind'!C6)</f>
      </c>
      <c r="F204" s="264">
        <f>'Bud In-Kind'!D6</f>
        <v>0</v>
      </c>
      <c r="H204" s="23"/>
      <c r="L204" s="23"/>
    </row>
    <row r="205" spans="1:12" ht="15.75">
      <c r="A205" s="123"/>
      <c r="B205" s="262">
        <f>IF('Bud In-Kind'!B7="","",'Bud In-Kind'!B7)</f>
      </c>
      <c r="C205" s="57"/>
      <c r="D205" s="57"/>
      <c r="E205" s="263">
        <f>IF('Bud In-Kind'!C7="","",'Bud In-Kind'!C7)</f>
      </c>
      <c r="F205" s="264">
        <f>'Bud In-Kind'!D7</f>
        <v>0</v>
      </c>
      <c r="H205" s="23"/>
      <c r="L205" s="23"/>
    </row>
    <row r="206" spans="1:12" ht="16.5" thickBot="1">
      <c r="A206" s="124"/>
      <c r="B206" s="125" t="str">
        <f>'Bud In-Kind'!B8</f>
        <v>   Total</v>
      </c>
      <c r="C206" s="87"/>
      <c r="D206" s="87"/>
      <c r="E206" s="252"/>
      <c r="F206" s="127">
        <f>'Bud In-Kind'!D8</f>
        <v>1</v>
      </c>
      <c r="H206" s="23"/>
      <c r="L206" s="23"/>
    </row>
    <row r="207" spans="1:12" ht="16.5" thickBot="1">
      <c r="A207" s="92"/>
      <c r="B207" s="121"/>
      <c r="E207" s="253"/>
      <c r="F207" s="126"/>
      <c r="H207" s="23"/>
      <c r="L207" s="23"/>
    </row>
    <row r="208" spans="1:12" ht="15.75">
      <c r="A208" s="90" t="str">
        <f>'Bud In-Kind'!A10</f>
        <v>b.  Fringe Benefits</v>
      </c>
      <c r="B208" s="265"/>
      <c r="C208" s="68"/>
      <c r="D208" s="68"/>
      <c r="E208" s="266"/>
      <c r="F208" s="267"/>
      <c r="H208" s="23"/>
      <c r="L208" s="23"/>
    </row>
    <row r="209" spans="1:12" ht="15.75">
      <c r="A209" s="123"/>
      <c r="B209" s="262">
        <f>IF('Bud In-Kind'!B11="","",'Bud In-Kind'!B11)</f>
      </c>
      <c r="C209" s="57"/>
      <c r="D209" s="57"/>
      <c r="E209" s="263">
        <f>IF('Bud In-Kind'!C11="","",'Bud In-Kind'!C11)</f>
        <v>2</v>
      </c>
      <c r="F209" s="264">
        <f>'Bud In-Kind'!D11</f>
        <v>2</v>
      </c>
      <c r="H209" s="23"/>
      <c r="L209" s="23"/>
    </row>
    <row r="210" spans="1:12" ht="15.75">
      <c r="A210" s="123"/>
      <c r="B210" s="262">
        <f>IF('Bud In-Kind'!B12="","",'Bud In-Kind'!B12)</f>
      </c>
      <c r="C210" s="57"/>
      <c r="D210" s="57"/>
      <c r="E210" s="263">
        <f>IF('Bud In-Kind'!C12="","",'Bud In-Kind'!C12)</f>
      </c>
      <c r="F210" s="264">
        <f>'Bud In-Kind'!D12</f>
        <v>0</v>
      </c>
      <c r="H210" s="23"/>
      <c r="L210" s="23"/>
    </row>
    <row r="211" spans="1:8" ht="15.75">
      <c r="A211" s="123"/>
      <c r="B211" s="262">
        <f>IF('Bud In-Kind'!B13="","",'Bud In-Kind'!B13)</f>
      </c>
      <c r="C211" s="57"/>
      <c r="D211" s="57"/>
      <c r="E211" s="263">
        <f>IF('Bud In-Kind'!C13="","",'Bud In-Kind'!C13)</f>
      </c>
      <c r="F211" s="264">
        <f>'Bud In-Kind'!D13</f>
        <v>0</v>
      </c>
      <c r="H211" s="23"/>
    </row>
    <row r="212" spans="1:8" ht="15.75">
      <c r="A212" s="123"/>
      <c r="B212" s="262">
        <f>IF('Bud In-Kind'!B14="","",'Bud In-Kind'!B14)</f>
      </c>
      <c r="C212" s="57"/>
      <c r="D212" s="57"/>
      <c r="E212" s="263">
        <f>IF('Bud In-Kind'!C14="","",'Bud In-Kind'!C14)</f>
      </c>
      <c r="F212" s="264">
        <f>'Bud In-Kind'!D14</f>
        <v>0</v>
      </c>
      <c r="H212" s="23"/>
    </row>
    <row r="213" spans="1:8" ht="15.75">
      <c r="A213" s="123"/>
      <c r="B213" s="121" t="str">
        <f>'Bud In-Kind'!B15</f>
        <v>   Total</v>
      </c>
      <c r="C213" s="57"/>
      <c r="D213" s="57"/>
      <c r="E213" s="253"/>
      <c r="F213" s="275">
        <f>'Bud In-Kind'!D15</f>
        <v>2</v>
      </c>
      <c r="H213" s="23"/>
    </row>
    <row r="214" spans="1:8" ht="16.5" thickBot="1">
      <c r="A214" s="92"/>
      <c r="B214" s="121"/>
      <c r="C214" s="57"/>
      <c r="D214" s="57"/>
      <c r="E214" s="253"/>
      <c r="F214" s="126"/>
      <c r="G214" s="57"/>
      <c r="H214" s="23"/>
    </row>
    <row r="215" spans="1:8" ht="15.75">
      <c r="A215" s="90" t="str">
        <f>'Bud In-Kind'!A17</f>
        <v>c.  Travel</v>
      </c>
      <c r="B215" s="265"/>
      <c r="C215" s="68"/>
      <c r="D215" s="68"/>
      <c r="E215" s="266"/>
      <c r="F215" s="267"/>
      <c r="H215" s="23"/>
    </row>
    <row r="216" spans="1:8" ht="15.75">
      <c r="A216" s="123"/>
      <c r="B216" s="262">
        <f>IF('Bud In-Kind'!B18="","",'Bud In-Kind'!B18)</f>
      </c>
      <c r="C216" s="57"/>
      <c r="D216" s="57"/>
      <c r="E216" s="263">
        <f>IF('Bud In-Kind'!C18="","",'Bud In-Kind'!C18)</f>
        <v>3</v>
      </c>
      <c r="F216" s="264">
        <f>'Bud In-Kind'!D18</f>
        <v>3</v>
      </c>
      <c r="H216" s="23"/>
    </row>
    <row r="217" spans="1:6" ht="15.75">
      <c r="A217" s="123"/>
      <c r="B217" s="262">
        <f>IF('Bud In-Kind'!B19="","",'Bud In-Kind'!B19)</f>
      </c>
      <c r="C217" s="57"/>
      <c r="D217" s="57"/>
      <c r="E217" s="263">
        <f>IF('Bud In-Kind'!C19="","",'Bud In-Kind'!C19)</f>
      </c>
      <c r="F217" s="264">
        <f>'Bud In-Kind'!D19</f>
        <v>0</v>
      </c>
    </row>
    <row r="218" spans="1:6" ht="15.75">
      <c r="A218" s="123"/>
      <c r="B218" s="262">
        <f>IF('Bud In-Kind'!B20="","",'Bud In-Kind'!B20)</f>
      </c>
      <c r="C218" s="57"/>
      <c r="D218" s="57"/>
      <c r="E218" s="263">
        <f>IF('Bud In-Kind'!C20="","",'Bud In-Kind'!C20)</f>
      </c>
      <c r="F218" s="264">
        <f>'Bud In-Kind'!D20</f>
        <v>0</v>
      </c>
    </row>
    <row r="219" spans="1:6" ht="15.75">
      <c r="A219" s="123"/>
      <c r="B219" s="262">
        <f>IF('Bud In-Kind'!B21="","",'Bud In-Kind'!B21)</f>
      </c>
      <c r="C219" s="57"/>
      <c r="D219" s="57"/>
      <c r="E219" s="263">
        <f>IF('Bud In-Kind'!C21="","",'Bud In-Kind'!C21)</f>
      </c>
      <c r="F219" s="264">
        <f>'Bud In-Kind'!D21</f>
        <v>0</v>
      </c>
    </row>
    <row r="220" spans="1:6" ht="16.5" thickBot="1">
      <c r="A220" s="124"/>
      <c r="B220" s="125" t="str">
        <f>'Bud In-Kind'!B22</f>
        <v>   Total</v>
      </c>
      <c r="C220" s="87"/>
      <c r="D220" s="87"/>
      <c r="E220" s="252"/>
      <c r="F220" s="127">
        <f>'Bud In-Kind'!D22</f>
        <v>3</v>
      </c>
    </row>
    <row r="221" spans="1:6" ht="16.5" thickBot="1">
      <c r="A221" s="92"/>
      <c r="B221" s="121"/>
      <c r="E221" s="268"/>
      <c r="F221" s="269"/>
    </row>
    <row r="222" spans="1:6" ht="15.75">
      <c r="A222" s="90" t="str">
        <f>'Bud In-Kind'!A24</f>
        <v>d.  Equipment</v>
      </c>
      <c r="B222" s="265"/>
      <c r="C222" s="68"/>
      <c r="D222" s="68"/>
      <c r="E222" s="266"/>
      <c r="F222" s="267"/>
    </row>
    <row r="223" spans="1:6" ht="15.75">
      <c r="A223" s="123"/>
      <c r="B223" s="262">
        <f>IF('Bud In-Kind'!B25="","",'Bud In-Kind'!B25)</f>
      </c>
      <c r="C223" s="57"/>
      <c r="D223" s="57"/>
      <c r="E223" s="263">
        <f>IF('Bud In-Kind'!C25="","",'Bud In-Kind'!C25)</f>
        <v>4</v>
      </c>
      <c r="F223" s="264">
        <f>'Bud In-Kind'!D25</f>
        <v>4</v>
      </c>
    </row>
    <row r="224" spans="1:6" ht="15.75">
      <c r="A224" s="123"/>
      <c r="B224" s="262">
        <f>IF('Bud In-Kind'!B26="","",'Bud In-Kind'!B26)</f>
      </c>
      <c r="C224" s="57"/>
      <c r="D224" s="57"/>
      <c r="E224" s="263">
        <f>IF('Bud In-Kind'!C26="","",'Bud In-Kind'!C26)</f>
      </c>
      <c r="F224" s="264">
        <f>'Bud In-Kind'!D26</f>
        <v>0</v>
      </c>
    </row>
    <row r="225" spans="1:6" ht="15.75">
      <c r="A225" s="123"/>
      <c r="B225" s="262">
        <f>IF('Bud In-Kind'!B27="","",'Bud In-Kind'!B27)</f>
      </c>
      <c r="C225" s="57"/>
      <c r="D225" s="57"/>
      <c r="E225" s="263">
        <f>IF('Bud In-Kind'!C27="","",'Bud In-Kind'!C27)</f>
      </c>
      <c r="F225" s="264">
        <f>'Bud In-Kind'!D27</f>
        <v>0</v>
      </c>
    </row>
    <row r="226" spans="1:6" ht="15.75">
      <c r="A226" s="123"/>
      <c r="B226" s="262">
        <f>IF('Bud In-Kind'!B28="","",'Bud In-Kind'!B28)</f>
      </c>
      <c r="C226" s="57"/>
      <c r="D226" s="57"/>
      <c r="E226" s="263">
        <f>IF('Bud In-Kind'!C28="","",'Bud In-Kind'!C28)</f>
      </c>
      <c r="F226" s="264">
        <f>'Bud In-Kind'!D28</f>
        <v>0</v>
      </c>
    </row>
    <row r="227" spans="1:6" ht="16.5" thickBot="1">
      <c r="A227" s="124"/>
      <c r="B227" s="125" t="str">
        <f>'Bud In-Kind'!B29</f>
        <v>   Total</v>
      </c>
      <c r="C227" s="87"/>
      <c r="D227" s="87"/>
      <c r="E227" s="252"/>
      <c r="F227" s="127">
        <f>'Bud In-Kind'!D29</f>
        <v>4</v>
      </c>
    </row>
    <row r="228" spans="1:6" ht="16.5" thickBot="1">
      <c r="A228" s="92"/>
      <c r="B228" s="121"/>
      <c r="E228" s="268"/>
      <c r="F228" s="269"/>
    </row>
    <row r="229" spans="1:6" ht="15.75">
      <c r="A229" s="90" t="str">
        <f>'Bud In-Kind'!A31</f>
        <v>e.  Supplies</v>
      </c>
      <c r="B229" s="265"/>
      <c r="C229" s="68"/>
      <c r="D229" s="68"/>
      <c r="E229" s="266"/>
      <c r="F229" s="267"/>
    </row>
    <row r="230" spans="1:6" ht="15.75">
      <c r="A230" s="123"/>
      <c r="B230" s="262">
        <f>IF('Bud In-Kind'!B32="","",'Bud In-Kind'!B32)</f>
      </c>
      <c r="C230" s="57"/>
      <c r="D230" s="57"/>
      <c r="E230" s="263" t="str">
        <f>IF('Bud In-Kind'!C32="","",'Bud In-Kind'!C32)</f>
        <v>All</v>
      </c>
      <c r="F230" s="264">
        <f>'Bud In-Kind'!D32</f>
        <v>8</v>
      </c>
    </row>
    <row r="231" spans="1:6" ht="15.75">
      <c r="A231" s="123"/>
      <c r="B231" s="262">
        <f>IF('Bud In-Kind'!B33="","",'Bud In-Kind'!B33)</f>
      </c>
      <c r="C231" s="57"/>
      <c r="D231" s="57"/>
      <c r="E231" s="263">
        <f>IF('Bud In-Kind'!C33="","",'Bud In-Kind'!C33)</f>
      </c>
      <c r="F231" s="264">
        <f>'Bud In-Kind'!D33</f>
        <v>0</v>
      </c>
    </row>
    <row r="232" spans="1:6" ht="15.75">
      <c r="A232" s="123"/>
      <c r="B232" s="262">
        <f>IF('Bud In-Kind'!B34="","",'Bud In-Kind'!B34)</f>
      </c>
      <c r="C232" s="57"/>
      <c r="D232" s="57"/>
      <c r="E232" s="263">
        <f>IF('Bud In-Kind'!C34="","",'Bud In-Kind'!C34)</f>
      </c>
      <c r="F232" s="264">
        <f>'Bud In-Kind'!D34</f>
        <v>0</v>
      </c>
    </row>
    <row r="233" spans="1:6" ht="15.75">
      <c r="A233" s="123"/>
      <c r="B233" s="262">
        <f>IF('Bud In-Kind'!B35="","",'Bud In-Kind'!B35)</f>
      </c>
      <c r="C233" s="57"/>
      <c r="D233" s="57"/>
      <c r="E233" s="263">
        <f>IF('Bud In-Kind'!C35="","",'Bud In-Kind'!C35)</f>
      </c>
      <c r="F233" s="264">
        <f>'Bud In-Kind'!D35</f>
        <v>0</v>
      </c>
    </row>
    <row r="234" spans="1:6" ht="16.5" thickBot="1">
      <c r="A234" s="124"/>
      <c r="B234" s="125" t="str">
        <f>'Bud In-Kind'!B36</f>
        <v>   Total</v>
      </c>
      <c r="C234" s="87"/>
      <c r="D234" s="87"/>
      <c r="E234" s="252"/>
      <c r="F234" s="127">
        <f>'Bud In-Kind'!D36</f>
        <v>8</v>
      </c>
    </row>
    <row r="235" spans="1:6" ht="16.5" thickBot="1">
      <c r="A235" s="92"/>
      <c r="B235" s="121"/>
      <c r="E235" s="268"/>
      <c r="F235" s="269"/>
    </row>
    <row r="236" spans="1:6" ht="15.75">
      <c r="A236" s="90" t="str">
        <f>'Bud In-Kind'!A38</f>
        <v>g.  Contractual</v>
      </c>
      <c r="B236" s="265"/>
      <c r="C236" s="68"/>
      <c r="D236" s="68"/>
      <c r="E236" s="266"/>
      <c r="F236" s="267"/>
    </row>
    <row r="237" spans="1:6" ht="15.75">
      <c r="A237" s="123"/>
      <c r="B237" s="262">
        <f>IF('Bud In-Kind'!B39="","",'Bud In-Kind'!B39)</f>
      </c>
      <c r="C237" s="57"/>
      <c r="D237" s="57"/>
      <c r="E237" s="263">
        <f>IF('Bud In-Kind'!C39="","",'Bud In-Kind'!C39)</f>
        <v>1</v>
      </c>
      <c r="F237" s="264">
        <f>'Bud In-Kind'!D39</f>
        <v>6</v>
      </c>
    </row>
    <row r="238" spans="1:6" ht="15.75">
      <c r="A238" s="123"/>
      <c r="B238" s="262">
        <f>IF('Bud In-Kind'!B40="","",'Bud In-Kind'!B40)</f>
      </c>
      <c r="C238" s="57"/>
      <c r="D238" s="57"/>
      <c r="E238" s="263">
        <f>IF('Bud In-Kind'!C40="","",'Bud In-Kind'!C40)</f>
      </c>
      <c r="F238" s="264">
        <f>'Bud In-Kind'!D40</f>
        <v>0</v>
      </c>
    </row>
    <row r="239" spans="1:6" ht="15.75">
      <c r="A239" s="123"/>
      <c r="B239" s="262">
        <f>IF('Bud In-Kind'!B41="","",'Bud In-Kind'!B41)</f>
      </c>
      <c r="C239" s="57"/>
      <c r="D239" s="57"/>
      <c r="E239" s="263">
        <f>IF('Bud In-Kind'!C41="","",'Bud In-Kind'!C41)</f>
      </c>
      <c r="F239" s="264">
        <f>'Bud In-Kind'!D41</f>
        <v>0</v>
      </c>
    </row>
    <row r="240" spans="1:6" ht="15.75">
      <c r="A240" s="123"/>
      <c r="B240" s="262">
        <f>IF('Bud In-Kind'!B42="","",'Bud In-Kind'!B42)</f>
      </c>
      <c r="C240" s="57"/>
      <c r="D240" s="57"/>
      <c r="E240" s="263">
        <f>IF('Bud In-Kind'!C42="","",'Bud In-Kind'!C42)</f>
      </c>
      <c r="F240" s="264">
        <f>'Bud In-Kind'!D42</f>
        <v>0</v>
      </c>
    </row>
    <row r="241" spans="1:6" ht="16.5" thickBot="1">
      <c r="A241" s="124"/>
      <c r="B241" s="125"/>
      <c r="C241" s="87"/>
      <c r="D241" s="87"/>
      <c r="E241" s="252"/>
      <c r="F241" s="127">
        <f>'Bud In-Kind'!D43</f>
        <v>6</v>
      </c>
    </row>
    <row r="242" spans="1:6" ht="16.5" thickBot="1">
      <c r="A242" s="92"/>
      <c r="B242" s="121"/>
      <c r="E242" s="268"/>
      <c r="F242" s="269"/>
    </row>
    <row r="243" spans="1:6" ht="16.5" thickBot="1">
      <c r="A243" s="128" t="str">
        <f>'Bud In-Kind'!A45</f>
        <v>f.  Construction</v>
      </c>
      <c r="B243" s="270"/>
      <c r="C243" s="157"/>
      <c r="D243" s="157"/>
      <c r="E243" s="271"/>
      <c r="F243" s="272">
        <f>'Bud In-Kind'!D45</f>
        <v>0</v>
      </c>
    </row>
    <row r="244" spans="1:6" ht="16.5" thickBot="1">
      <c r="A244" s="92"/>
      <c r="B244" s="121"/>
      <c r="E244" s="268"/>
      <c r="F244" s="269"/>
    </row>
    <row r="245" spans="1:6" ht="15.75">
      <c r="A245" s="90" t="str">
        <f>'Bud In-Kind'!A47</f>
        <v>h.  Other</v>
      </c>
      <c r="B245" s="265"/>
      <c r="C245" s="68"/>
      <c r="D245" s="68"/>
      <c r="E245" s="266"/>
      <c r="F245" s="267"/>
    </row>
    <row r="246" spans="1:6" ht="15.75">
      <c r="A246" s="123"/>
      <c r="B246" s="262">
        <f>IF('Bud In-Kind'!B48="","",'Bud In-Kind'!B48)</f>
      </c>
      <c r="C246" s="57"/>
      <c r="D246" s="57"/>
      <c r="E246" s="263" t="str">
        <f>IF('Bud In-Kind'!C48="","",'Bud In-Kind'!C48)</f>
        <v>All</v>
      </c>
      <c r="F246" s="264">
        <f>'Bud In-Kind'!D48</f>
        <v>7</v>
      </c>
    </row>
    <row r="247" spans="1:6" ht="15.75">
      <c r="A247" s="123"/>
      <c r="B247" s="262">
        <f>IF('Bud In-Kind'!B49="","",'Bud In-Kind'!B49)</f>
      </c>
      <c r="C247" s="57"/>
      <c r="D247" s="57"/>
      <c r="E247" s="263">
        <f>IF('Bud In-Kind'!C49="","",'Bud In-Kind'!C49)</f>
      </c>
      <c r="F247" s="264">
        <f>'Bud In-Kind'!D49</f>
        <v>0</v>
      </c>
    </row>
    <row r="248" spans="1:6" ht="15.75">
      <c r="A248" s="123"/>
      <c r="B248" s="262">
        <f>IF('Bud In-Kind'!B50="","",'Bud In-Kind'!B50)</f>
      </c>
      <c r="C248" s="57"/>
      <c r="D248" s="57"/>
      <c r="E248" s="263">
        <f>IF('Bud In-Kind'!C50="","",'Bud In-Kind'!C50)</f>
      </c>
      <c r="F248" s="264">
        <f>'Bud In-Kind'!D50</f>
        <v>0</v>
      </c>
    </row>
    <row r="249" spans="1:6" ht="15.75">
      <c r="A249" s="123"/>
      <c r="B249" s="262">
        <f>IF('Bud In-Kind'!B51="","",'Bud In-Kind'!B51)</f>
      </c>
      <c r="C249" s="57"/>
      <c r="D249" s="57"/>
      <c r="E249" s="263">
        <f>IF('Bud In-Kind'!C51="","",'Bud In-Kind'!C51)</f>
      </c>
      <c r="F249" s="264">
        <f>'Bud In-Kind'!D51</f>
        <v>0</v>
      </c>
    </row>
    <row r="250" spans="1:6" ht="16.5" thickBot="1">
      <c r="A250" s="124"/>
      <c r="B250" s="125" t="str">
        <f>'Bud In-Kind'!B52</f>
        <v>   Total</v>
      </c>
      <c r="C250" s="87"/>
      <c r="D250" s="87"/>
      <c r="E250" s="222"/>
      <c r="F250" s="127">
        <f>'Bud In-Kind'!D52</f>
        <v>7</v>
      </c>
    </row>
    <row r="251" spans="1:6" ht="16.5" thickBot="1">
      <c r="A251" s="92" t="str">
        <f>'Bud In-Kind'!A54</f>
        <v>i.  Total Direct Charges (sum of 6a-6h)</v>
      </c>
      <c r="B251" s="121"/>
      <c r="E251" s="273"/>
      <c r="F251" s="274">
        <f>'Bud In-Kind'!D54</f>
        <v>31</v>
      </c>
    </row>
    <row r="252" spans="1:5" ht="16.5" thickBot="1">
      <c r="A252" s="23"/>
      <c r="B252" s="23"/>
      <c r="C252" s="23"/>
      <c r="D252" s="243"/>
      <c r="E252" s="245"/>
    </row>
    <row r="253" spans="1:6" ht="16.5" thickBot="1">
      <c r="A253" s="280" t="str">
        <f>'Bud Indir Exp '!A1</f>
        <v>Indirect Rate Computations:</v>
      </c>
      <c r="B253" s="68"/>
      <c r="C253" s="68"/>
      <c r="D253" s="68"/>
      <c r="E253" s="68"/>
      <c r="F253" s="69"/>
    </row>
    <row r="254" spans="1:6" ht="15.75">
      <c r="A254" s="67" t="s">
        <v>349</v>
      </c>
      <c r="B254" s="68"/>
      <c r="C254" s="68"/>
      <c r="D254" s="256" t="str">
        <f>'Bud Indir Exp '!B2</f>
        <v>1st Half</v>
      </c>
      <c r="E254" s="257" t="str">
        <f>'Bud Indir Exp '!C2</f>
        <v>2nd Half</v>
      </c>
      <c r="F254" s="258" t="str">
        <f>'Bud Indir Exp '!D2</f>
        <v>Total</v>
      </c>
    </row>
    <row r="255" spans="1:6" ht="15.75">
      <c r="A255" s="70"/>
      <c r="B255" s="57" t="str">
        <f>'Bud Indir Exp '!A3</f>
        <v>Personnel</v>
      </c>
      <c r="C255" s="57"/>
      <c r="D255" s="276">
        <f>'Bud Indir Exp '!B3</f>
        <v>48962.94</v>
      </c>
      <c r="E255" s="276">
        <f>'Bud Indir Exp '!C3</f>
        <v>48962.94</v>
      </c>
      <c r="F255" s="277">
        <f>'Bud Indir Exp '!D3</f>
        <v>97925.88</v>
      </c>
    </row>
    <row r="256" spans="1:6" ht="15.75">
      <c r="A256" s="70"/>
      <c r="B256" s="57" t="str">
        <f>'Bud Indir Exp '!A4</f>
        <v>Benefits</v>
      </c>
      <c r="C256" s="57"/>
      <c r="D256" s="276">
        <f>'Bud Indir Exp '!B4</f>
        <v>15207</v>
      </c>
      <c r="E256" s="276">
        <f>'Bud Indir Exp '!C4</f>
        <v>15207</v>
      </c>
      <c r="F256" s="277">
        <f>'Bud Indir Exp '!D4</f>
        <v>30414</v>
      </c>
    </row>
    <row r="257" spans="1:6" ht="15.75">
      <c r="A257" s="70"/>
      <c r="B257" s="57" t="str">
        <f>'Bud Indir Exp '!A5</f>
        <v>Travel</v>
      </c>
      <c r="C257" s="57"/>
      <c r="D257" s="276">
        <f>'Bud Indir Exp '!B5</f>
        <v>830</v>
      </c>
      <c r="E257" s="276">
        <f>'Bud Indir Exp '!C5</f>
        <v>1927</v>
      </c>
      <c r="F257" s="277">
        <f>'Bud Indir Exp '!D5</f>
        <v>2757</v>
      </c>
    </row>
    <row r="258" spans="1:6" ht="15.75">
      <c r="A258" s="70"/>
      <c r="B258" s="57" t="str">
        <f>'Bud Indir Exp '!A6</f>
        <v>Equipment</v>
      </c>
      <c r="C258" s="57"/>
      <c r="D258" s="276">
        <f>'Bud Indir Exp '!B6</f>
        <v>2000</v>
      </c>
      <c r="E258" s="276">
        <f>'Bud Indir Exp '!C6</f>
        <v>0</v>
      </c>
      <c r="F258" s="277">
        <f>'Bud Indir Exp '!D6</f>
        <v>2000</v>
      </c>
    </row>
    <row r="259" spans="1:6" ht="15.75">
      <c r="A259" s="70"/>
      <c r="B259" s="57" t="str">
        <f>'Bud Indir Exp '!A7</f>
        <v>Supplies</v>
      </c>
      <c r="C259" s="57"/>
      <c r="D259" s="276">
        <f>'Bud Indir Exp '!B7</f>
        <v>2790</v>
      </c>
      <c r="E259" s="276">
        <f>'Bud Indir Exp '!C7</f>
        <v>990</v>
      </c>
      <c r="F259" s="277">
        <f>'Bud Indir Exp '!D7</f>
        <v>3780</v>
      </c>
    </row>
    <row r="260" spans="1:6" ht="15.75">
      <c r="A260" s="70"/>
      <c r="B260" s="57" t="str">
        <f>'Bud Indir Exp '!A8</f>
        <v>Contractual </v>
      </c>
      <c r="C260" s="57"/>
      <c r="D260" s="276">
        <f>'Bud Indir Exp '!B8</f>
        <v>100</v>
      </c>
      <c r="E260" s="276">
        <f>'Bud Indir Exp '!C8</f>
        <v>0</v>
      </c>
      <c r="F260" s="277">
        <f>'Bud Indir Exp '!D8</f>
        <v>100</v>
      </c>
    </row>
    <row r="261" spans="1:6" ht="15.75">
      <c r="A261" s="70"/>
      <c r="B261" s="57" t="str">
        <f>'Bud Indir Exp '!A9</f>
        <v>Construction</v>
      </c>
      <c r="C261" s="57"/>
      <c r="D261" s="276">
        <f>'Bud Indir Exp '!B9</f>
        <v>0</v>
      </c>
      <c r="E261" s="276">
        <f>'Bud Indir Exp '!C9</f>
        <v>0</v>
      </c>
      <c r="F261" s="277">
        <f>'Bud Indir Exp '!D9</f>
        <v>0</v>
      </c>
    </row>
    <row r="262" spans="1:6" ht="15.75">
      <c r="A262" s="70"/>
      <c r="B262" s="57" t="str">
        <f>'Bud Indir Exp '!A10</f>
        <v>Other</v>
      </c>
      <c r="C262" s="57"/>
      <c r="D262" s="276">
        <f>'Bud Indir Exp '!B10</f>
        <v>1402</v>
      </c>
      <c r="E262" s="276">
        <f>'Bud Indir Exp '!C10</f>
        <v>1402</v>
      </c>
      <c r="F262" s="277">
        <f>'Bud Indir Exp '!D10</f>
        <v>2804</v>
      </c>
    </row>
    <row r="263" spans="1:6" ht="16.5" thickBot="1">
      <c r="A263" s="70"/>
      <c r="B263" s="57" t="str">
        <f>'Bud Indir Exp '!A11</f>
        <v>    Total</v>
      </c>
      <c r="C263" s="57"/>
      <c r="D263" s="278">
        <f>'Bud Indir Exp '!B11</f>
        <v>71291.94</v>
      </c>
      <c r="E263" s="278">
        <f>'Bud Indir Exp '!C11</f>
        <v>68488.94</v>
      </c>
      <c r="F263" s="279">
        <f>'Bud Indir Exp '!D11</f>
        <v>139780.88</v>
      </c>
    </row>
    <row r="264" spans="1:6" ht="15.75">
      <c r="A264" s="70" t="str">
        <f>'Bud Indir Exp '!A13</f>
        <v>Indirect Expense Computations:</v>
      </c>
      <c r="B264" s="57"/>
      <c r="C264" s="57"/>
      <c r="D264" s="254"/>
      <c r="E264" s="254"/>
      <c r="F264" s="255"/>
    </row>
    <row r="265" spans="1:6" ht="30">
      <c r="A265" s="70" t="str">
        <f>'Bud Indir Exp '!A14</f>
        <v>Basis</v>
      </c>
      <c r="B265" s="57"/>
      <c r="C265" s="57"/>
      <c r="D265" s="259" t="str">
        <f>'Bud Indir Exp '!B14</f>
        <v>All less Equip.</v>
      </c>
      <c r="E265" s="260" t="str">
        <f>'Bud Indir Exp '!C14</f>
        <v>All less Equip.</v>
      </c>
      <c r="F265" s="261" t="str">
        <f>'Bud Indir Exp '!D14</f>
        <v>Total </v>
      </c>
    </row>
    <row r="266" spans="1:6" ht="15.75">
      <c r="A266" s="70" t="str">
        <f>'Bud Indir Exp '!A15</f>
        <v>Base $'s</v>
      </c>
      <c r="B266" s="57"/>
      <c r="C266" s="57"/>
      <c r="D266" s="276">
        <f>'Bud Indir Exp '!B15</f>
        <v>69291.94</v>
      </c>
      <c r="E266" s="276">
        <f>'Bud Indir Exp '!C15</f>
        <v>68488.94</v>
      </c>
      <c r="F266" s="277">
        <f>'Bud Indir Exp '!D15</f>
        <v>137780.88</v>
      </c>
    </row>
    <row r="267" spans="1:6" ht="15.75">
      <c r="A267" s="70" t="str">
        <f>'Bud Indir Exp '!A16</f>
        <v>Rate</v>
      </c>
      <c r="B267" s="57"/>
      <c r="C267" s="57"/>
      <c r="D267" s="299">
        <f>'Bud Indir Exp '!B16</f>
        <v>0.348</v>
      </c>
      <c r="E267" s="299">
        <f>'Bud Indir Exp '!C16</f>
        <v>0.348</v>
      </c>
      <c r="F267" s="277">
        <f>'Bud Indir Exp '!D16</f>
        <v>0</v>
      </c>
    </row>
    <row r="268" spans="1:6" ht="16.5" thickBot="1">
      <c r="A268" s="71"/>
      <c r="B268" s="87" t="str">
        <f>'Bud Indir Exp '!A17</f>
        <v>Total Indirect</v>
      </c>
      <c r="C268" s="87"/>
      <c r="D268" s="278">
        <f>'Bud Indir Exp '!B17</f>
        <v>24113.595119999998</v>
      </c>
      <c r="E268" s="278">
        <f>'Bud Indir Exp '!C17</f>
        <v>23834.15112</v>
      </c>
      <c r="F268" s="279">
        <f>'Bud Indir Exp '!D17</f>
        <v>47947.74623999999</v>
      </c>
    </row>
    <row r="270" spans="1:5" ht="15.75">
      <c r="A270" s="23"/>
      <c r="B270" s="23"/>
      <c r="C270" s="23"/>
      <c r="D270" s="23"/>
      <c r="E270" s="23"/>
    </row>
    <row r="271" spans="1:5" ht="15.75">
      <c r="A271" s="23"/>
      <c r="B271" s="23"/>
      <c r="C271" s="23"/>
      <c r="D271" s="23"/>
      <c r="E271" s="23"/>
    </row>
    <row r="272" spans="1:5" ht="15.75">
      <c r="A272" s="23"/>
      <c r="B272" s="23"/>
      <c r="C272" s="23"/>
      <c r="D272" s="23"/>
      <c r="E272" s="23"/>
    </row>
  </sheetData>
  <sheetProtection/>
  <mergeCells count="74">
    <mergeCell ref="H1:I1"/>
    <mergeCell ref="C1:D1"/>
    <mergeCell ref="B34:D34"/>
    <mergeCell ref="B38:D38"/>
    <mergeCell ref="A1:B1"/>
    <mergeCell ref="A2:J2"/>
    <mergeCell ref="A3:J3"/>
    <mergeCell ref="A4:B4"/>
    <mergeCell ref="C4:J4"/>
    <mergeCell ref="I30:J30"/>
    <mergeCell ref="B5:B6"/>
    <mergeCell ref="D5:E5"/>
    <mergeCell ref="A13:B13"/>
    <mergeCell ref="C13:J13"/>
    <mergeCell ref="C62:I62"/>
    <mergeCell ref="A59:J59"/>
    <mergeCell ref="B39:D39"/>
    <mergeCell ref="D40:J40"/>
    <mergeCell ref="E45:J45"/>
    <mergeCell ref="A53:C53"/>
    <mergeCell ref="E46:J46"/>
    <mergeCell ref="A58:J58"/>
    <mergeCell ref="A45:D45"/>
    <mergeCell ref="C60:I60"/>
    <mergeCell ref="B50:D50"/>
    <mergeCell ref="A57:J57"/>
    <mergeCell ref="C54:D54"/>
    <mergeCell ref="B51:D51"/>
    <mergeCell ref="A61:B61"/>
    <mergeCell ref="A5:A6"/>
    <mergeCell ref="C5:C6"/>
    <mergeCell ref="A55:D55"/>
    <mergeCell ref="H54:J54"/>
    <mergeCell ref="E55:J55"/>
    <mergeCell ref="D53:J53"/>
    <mergeCell ref="B49:D49"/>
    <mergeCell ref="A46:D47"/>
    <mergeCell ref="B48:D48"/>
    <mergeCell ref="A41:C41"/>
    <mergeCell ref="B23:C23"/>
    <mergeCell ref="B16:C16"/>
    <mergeCell ref="B52:D52"/>
    <mergeCell ref="C56:J56"/>
    <mergeCell ref="H5:J5"/>
    <mergeCell ref="A32:J32"/>
    <mergeCell ref="F41:G44"/>
    <mergeCell ref="B20:C20"/>
    <mergeCell ref="B24:C24"/>
    <mergeCell ref="D14:I14"/>
    <mergeCell ref="B14:C15"/>
    <mergeCell ref="I31:J31"/>
    <mergeCell ref="C31:H31"/>
    <mergeCell ref="B17:C17"/>
    <mergeCell ref="B18:C18"/>
    <mergeCell ref="B25:C25"/>
    <mergeCell ref="A27:J27"/>
    <mergeCell ref="B26:C26"/>
    <mergeCell ref="B44:C44"/>
    <mergeCell ref="B200:C200"/>
    <mergeCell ref="F47:G52"/>
    <mergeCell ref="A14:A15"/>
    <mergeCell ref="J14:J15"/>
    <mergeCell ref="B21:C21"/>
    <mergeCell ref="B22:C22"/>
    <mergeCell ref="B19:C19"/>
    <mergeCell ref="B35:D35"/>
    <mergeCell ref="A40:C40"/>
    <mergeCell ref="B37:D37"/>
    <mergeCell ref="B36:D36"/>
    <mergeCell ref="A31:B31"/>
    <mergeCell ref="B28:C28"/>
    <mergeCell ref="D33:J33"/>
    <mergeCell ref="A33:C33"/>
    <mergeCell ref="F34:G39"/>
  </mergeCells>
  <printOptions/>
  <pageMargins left="0.7" right="0.7" top="0.75" bottom="0.75" header="0.3" footer="0.3"/>
  <pageSetup fitToHeight="6" horizontalDpi="600" verticalDpi="600" orientation="landscape" r:id="rId1"/>
  <headerFooter>
    <oddFooter>&amp;LPage &amp;P of &amp;N&amp;R2010 CY Budget</oddFooter>
  </headerFooter>
  <rowBreaks count="4" manualBreakCount="4">
    <brk id="32" max="255" man="1"/>
    <brk id="63" max="9" man="1"/>
    <brk id="199" max="255" man="1"/>
    <brk id="2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118"/>
  <sheetViews>
    <sheetView tabSelected="1" zoomScalePageLayoutView="0" workbookViewId="0" topLeftCell="A1">
      <selection activeCell="B15" sqref="B15:C15"/>
    </sheetView>
  </sheetViews>
  <sheetFormatPr defaultColWidth="8.88671875" defaultRowHeight="15.75"/>
  <cols>
    <col min="1" max="1" width="2.5546875" style="23" customWidth="1"/>
    <col min="2" max="2" width="2.77734375" style="23" customWidth="1"/>
    <col min="3" max="3" width="19.5546875" style="23" customWidth="1"/>
    <col min="4" max="4" width="16.6640625" style="23" customWidth="1"/>
    <col min="5" max="5" width="8.21484375" style="23" customWidth="1"/>
    <col min="6" max="6" width="2.4453125" style="23" customWidth="1"/>
    <col min="7" max="7" width="8.6640625" style="23" customWidth="1"/>
    <col min="8" max="8" width="9.4453125" style="23" customWidth="1"/>
    <col min="9" max="9" width="6.77734375" style="23" customWidth="1"/>
    <col min="10" max="10" width="13.3359375" style="23" customWidth="1"/>
    <col min="11" max="14" width="5.21484375" style="23" customWidth="1"/>
    <col min="15" max="26" width="2.5546875" style="23" customWidth="1"/>
    <col min="27" max="27" width="2.88671875" style="23" customWidth="1"/>
    <col min="28" max="28" width="6.6640625" style="23" customWidth="1"/>
    <col min="29" max="29" width="9.3359375" style="23" customWidth="1"/>
    <col min="30" max="31" width="8.21484375" style="23" customWidth="1"/>
    <col min="32" max="32" width="10.88671875" style="23" customWidth="1"/>
    <col min="33" max="33" width="10.77734375" style="23" customWidth="1"/>
    <col min="34" max="34" width="9.77734375" style="23" customWidth="1"/>
    <col min="35" max="35" width="10.3359375" style="23" customWidth="1"/>
    <col min="36" max="38" width="9.77734375" style="23" customWidth="1"/>
    <col min="39" max="39" width="10.10546875" style="23" customWidth="1"/>
    <col min="40" max="41" width="9.5546875" style="23" customWidth="1"/>
    <col min="42" max="42" width="9.99609375" style="23" customWidth="1"/>
    <col min="43" max="43" width="9.5546875" style="23" customWidth="1"/>
    <col min="44" max="16384" width="8.88671875" style="23" customWidth="1"/>
  </cols>
  <sheetData>
    <row r="1" spans="1:46" ht="16.5" thickBot="1">
      <c r="A1" s="91" t="s">
        <v>352</v>
      </c>
      <c r="AH1" s="67"/>
      <c r="AI1" s="199" t="s">
        <v>59</v>
      </c>
      <c r="AJ1" s="68" t="s">
        <v>35</v>
      </c>
      <c r="AK1" s="68" t="s">
        <v>36</v>
      </c>
      <c r="AL1" s="68" t="s">
        <v>37</v>
      </c>
      <c r="AM1" s="68" t="s">
        <v>38</v>
      </c>
      <c r="AN1" s="69" t="s">
        <v>174</v>
      </c>
      <c r="AS1" s="23" t="s">
        <v>5</v>
      </c>
      <c r="AT1" s="23" t="s">
        <v>7</v>
      </c>
    </row>
    <row r="2" spans="2:46" ht="15.75">
      <c r="B2" s="23" t="s">
        <v>58</v>
      </c>
      <c r="G2" s="67" t="s">
        <v>73</v>
      </c>
      <c r="H2" s="68"/>
      <c r="I2" s="68"/>
      <c r="J2" s="283">
        <f>AC26</f>
        <v>5549.893076923077</v>
      </c>
      <c r="K2" s="284"/>
      <c r="AH2" s="70" t="s">
        <v>172</v>
      </c>
      <c r="AI2" s="132">
        <f aca="true" t="shared" si="0" ref="AI2:AM3">AI7-AI30-AI53-AI76-AI99</f>
        <v>2.7284841053187847E-12</v>
      </c>
      <c r="AJ2" s="132">
        <f t="shared" si="0"/>
        <v>6.821210263296962E-13</v>
      </c>
      <c r="AK2" s="132">
        <f t="shared" si="0"/>
        <v>6.821210263296962E-13</v>
      </c>
      <c r="AL2" s="132">
        <f t="shared" si="0"/>
        <v>6.821210263296962E-13</v>
      </c>
      <c r="AM2" s="132">
        <f t="shared" si="0"/>
        <v>6.821210263296962E-13</v>
      </c>
      <c r="AN2" s="134">
        <f>+AI2-SUM(AJ2:AM2)</f>
        <v>0</v>
      </c>
      <c r="AS2" s="23" t="s">
        <v>6</v>
      </c>
      <c r="AT2" s="23" t="s">
        <v>8</v>
      </c>
    </row>
    <row r="3" spans="3:46" ht="15.75">
      <c r="C3" s="23" t="s">
        <v>3</v>
      </c>
      <c r="D3" s="231">
        <v>0.4</v>
      </c>
      <c r="G3" s="70" t="s">
        <v>74</v>
      </c>
      <c r="H3" s="57"/>
      <c r="I3" s="57"/>
      <c r="J3" s="285">
        <f>AF26</f>
        <v>1881.7804384615388</v>
      </c>
      <c r="K3" s="286">
        <f>J3/J2</f>
        <v>0.3390660707115494</v>
      </c>
      <c r="L3" s="5"/>
      <c r="M3" s="5"/>
      <c r="N3" s="5"/>
      <c r="AH3" s="70" t="s">
        <v>173</v>
      </c>
      <c r="AI3" s="132">
        <f t="shared" si="0"/>
        <v>-9.094947017729282E-13</v>
      </c>
      <c r="AJ3" s="132">
        <f t="shared" si="0"/>
        <v>-2.2737367544323206E-13</v>
      </c>
      <c r="AK3" s="132">
        <f t="shared" si="0"/>
        <v>-2.2737367544323206E-13</v>
      </c>
      <c r="AL3" s="132">
        <f t="shared" si="0"/>
        <v>-2.2737367544323206E-13</v>
      </c>
      <c r="AM3" s="132">
        <f t="shared" si="0"/>
        <v>-2.2737367544323206E-13</v>
      </c>
      <c r="AN3" s="134">
        <f>+AI3-SUM(AJ3:AM3)</f>
        <v>0</v>
      </c>
      <c r="AT3" s="23" t="s">
        <v>9</v>
      </c>
    </row>
    <row r="4" spans="3:46" ht="16.5" thickBot="1">
      <c r="C4" s="23" t="s">
        <v>2</v>
      </c>
      <c r="D4" s="231">
        <v>0.085</v>
      </c>
      <c r="G4" s="70" t="s">
        <v>170</v>
      </c>
      <c r="H4" s="57"/>
      <c r="I4" s="57"/>
      <c r="J4" s="285">
        <f>AL26</f>
        <v>97925.88</v>
      </c>
      <c r="K4" s="282"/>
      <c r="L4" s="201"/>
      <c r="M4" s="5"/>
      <c r="N4" s="5"/>
      <c r="AH4" s="71" t="s">
        <v>175</v>
      </c>
      <c r="AI4" s="137">
        <f>+AI2+AI3</f>
        <v>1.8189894035458565E-12</v>
      </c>
      <c r="AJ4" s="137">
        <f>+AJ2+AJ3</f>
        <v>4.547473508864641E-13</v>
      </c>
      <c r="AK4" s="137">
        <f>+AK2+AK3</f>
        <v>4.547473508864641E-13</v>
      </c>
      <c r="AL4" s="137">
        <f>+AL2+AL3</f>
        <v>4.547473508864641E-13</v>
      </c>
      <c r="AM4" s="137">
        <f>+AM2+AM3</f>
        <v>4.547473508864641E-13</v>
      </c>
      <c r="AN4" s="135">
        <f>+AI4-SUM(AJ4:AM4)</f>
        <v>0</v>
      </c>
      <c r="AT4" s="23" t="s">
        <v>307</v>
      </c>
    </row>
    <row r="5" spans="3:46" ht="16.5" thickBot="1">
      <c r="C5" s="23" t="s">
        <v>4</v>
      </c>
      <c r="D5" s="232">
        <v>9</v>
      </c>
      <c r="G5" s="71" t="s">
        <v>171</v>
      </c>
      <c r="H5" s="87"/>
      <c r="I5" s="87"/>
      <c r="J5" s="287">
        <f>AQ26</f>
        <v>30414</v>
      </c>
      <c r="K5" s="288">
        <f>J5/J4</f>
        <v>0.31058184006107475</v>
      </c>
      <c r="M5" s="5"/>
      <c r="N5" s="5"/>
      <c r="AT5" s="23" t="s">
        <v>10</v>
      </c>
    </row>
    <row r="6" spans="3:46" ht="15.75">
      <c r="C6" s="23" t="s">
        <v>57</v>
      </c>
      <c r="D6" s="178">
        <f>15*8</f>
        <v>120</v>
      </c>
      <c r="AH6" s="67"/>
      <c r="AI6" s="199" t="s">
        <v>72</v>
      </c>
      <c r="AJ6" s="68" t="s">
        <v>35</v>
      </c>
      <c r="AK6" s="68" t="s">
        <v>36</v>
      </c>
      <c r="AL6" s="68" t="s">
        <v>37</v>
      </c>
      <c r="AM6" s="68" t="s">
        <v>38</v>
      </c>
      <c r="AN6" s="69" t="s">
        <v>174</v>
      </c>
      <c r="AT6" s="23" t="s">
        <v>11</v>
      </c>
    </row>
    <row r="7" spans="3:46" ht="15.75">
      <c r="C7" s="23" t="s">
        <v>56</v>
      </c>
      <c r="D7" s="178">
        <f>5*8</f>
        <v>40</v>
      </c>
      <c r="AH7" s="70" t="s">
        <v>172</v>
      </c>
      <c r="AI7" s="132">
        <f>ROUND(AL26,2)</f>
        <v>97925.88</v>
      </c>
      <c r="AJ7" s="132">
        <f>ROUND(+AH26,2)</f>
        <v>24481.47</v>
      </c>
      <c r="AK7" s="132">
        <f>ROUND(+AI26,2)</f>
        <v>24481.47</v>
      </c>
      <c r="AL7" s="132">
        <f>ROUND(AJ26,2)</f>
        <v>24481.47</v>
      </c>
      <c r="AM7" s="132">
        <f>ROUND(AK26,2)</f>
        <v>24481.47</v>
      </c>
      <c r="AN7" s="134">
        <f>+AI7-SUM(AJ7:AM7)</f>
        <v>0</v>
      </c>
      <c r="AT7" s="23" t="s">
        <v>20</v>
      </c>
    </row>
    <row r="8" spans="3:46" ht="15.75">
      <c r="C8" s="23" t="s">
        <v>18</v>
      </c>
      <c r="D8" s="298">
        <f>+D6+D7</f>
        <v>160</v>
      </c>
      <c r="AH8" s="70" t="s">
        <v>173</v>
      </c>
      <c r="AI8" s="132">
        <f>ROUND(+AQ$26,2)</f>
        <v>30414</v>
      </c>
      <c r="AJ8" s="132">
        <f>ROUND(+AM26,2)</f>
        <v>7603.5</v>
      </c>
      <c r="AK8" s="132">
        <f>ROUND(+AN$26,2)</f>
        <v>7603.5</v>
      </c>
      <c r="AL8" s="132">
        <f>ROUND(+AO$26,2)</f>
        <v>7603.5</v>
      </c>
      <c r="AM8" s="132">
        <f>ROUND(+AP$26,2)</f>
        <v>7603.5</v>
      </c>
      <c r="AN8" s="134">
        <f>+AI8-SUM(AJ8:AM8)</f>
        <v>0</v>
      </c>
      <c r="AT8" s="23" t="s">
        <v>14</v>
      </c>
    </row>
    <row r="9" spans="3:46" ht="16.5" thickBot="1">
      <c r="C9" s="23" t="s">
        <v>54</v>
      </c>
      <c r="D9" s="233">
        <v>0.37</v>
      </c>
      <c r="AH9" s="71" t="s">
        <v>175</v>
      </c>
      <c r="AI9" s="137">
        <f>+AI7+AI8</f>
        <v>128339.88</v>
      </c>
      <c r="AJ9" s="137">
        <f>+AJ7+AJ8</f>
        <v>32084.97</v>
      </c>
      <c r="AK9" s="137">
        <f>+AK7+AK8</f>
        <v>32084.97</v>
      </c>
      <c r="AL9" s="137">
        <f>+AL7+AL8</f>
        <v>32084.97</v>
      </c>
      <c r="AM9" s="137">
        <f>+AM7+AM8</f>
        <v>32084.97</v>
      </c>
      <c r="AN9" s="135">
        <f>+AI9-SUM(AJ9:AM9)</f>
        <v>0</v>
      </c>
      <c r="AT9" s="23" t="s">
        <v>12</v>
      </c>
    </row>
    <row r="10" spans="2:43" s="1" customFormat="1" ht="78.75">
      <c r="B10" s="392" t="s">
        <v>21</v>
      </c>
      <c r="C10" s="393"/>
      <c r="D10" s="3" t="s">
        <v>0</v>
      </c>
      <c r="E10" s="3" t="s">
        <v>16</v>
      </c>
      <c r="F10" s="7" t="s">
        <v>19</v>
      </c>
      <c r="G10" s="3" t="s">
        <v>15</v>
      </c>
      <c r="H10" s="281" t="s">
        <v>17</v>
      </c>
      <c r="I10" s="281" t="s">
        <v>40</v>
      </c>
      <c r="J10" s="281" t="s">
        <v>1</v>
      </c>
      <c r="K10" s="3" t="s">
        <v>315</v>
      </c>
      <c r="L10" s="3" t="s">
        <v>316</v>
      </c>
      <c r="M10" s="3" t="s">
        <v>317</v>
      </c>
      <c r="N10" s="3" t="s">
        <v>318</v>
      </c>
      <c r="O10" s="148" t="s">
        <v>22</v>
      </c>
      <c r="P10" s="148" t="s">
        <v>23</v>
      </c>
      <c r="Q10" s="148" t="s">
        <v>24</v>
      </c>
      <c r="R10" s="148" t="s">
        <v>25</v>
      </c>
      <c r="S10" s="148" t="s">
        <v>26</v>
      </c>
      <c r="T10" s="148" t="s">
        <v>27</v>
      </c>
      <c r="U10" s="148" t="s">
        <v>28</v>
      </c>
      <c r="V10" s="148" t="s">
        <v>29</v>
      </c>
      <c r="W10" s="148" t="s">
        <v>30</v>
      </c>
      <c r="X10" s="148" t="s">
        <v>31</v>
      </c>
      <c r="Y10" s="148" t="s">
        <v>32</v>
      </c>
      <c r="Z10" s="148" t="s">
        <v>33</v>
      </c>
      <c r="AA10" s="149" t="s">
        <v>39</v>
      </c>
      <c r="AC10" s="1" t="s">
        <v>51</v>
      </c>
      <c r="AD10" s="1" t="s">
        <v>53</v>
      </c>
      <c r="AE10" s="1" t="s">
        <v>52</v>
      </c>
      <c r="AF10" s="1" t="s">
        <v>55</v>
      </c>
      <c r="AG10" s="150" t="s">
        <v>13</v>
      </c>
      <c r="AH10" s="1" t="s">
        <v>46</v>
      </c>
      <c r="AI10" s="1" t="s">
        <v>47</v>
      </c>
      <c r="AJ10" s="1" t="s">
        <v>48</v>
      </c>
      <c r="AK10" s="1" t="s">
        <v>49</v>
      </c>
      <c r="AL10" s="150" t="s">
        <v>50</v>
      </c>
      <c r="AM10" s="1" t="s">
        <v>41</v>
      </c>
      <c r="AN10" s="1" t="s">
        <v>42</v>
      </c>
      <c r="AO10" s="1" t="s">
        <v>43</v>
      </c>
      <c r="AP10" s="1" t="s">
        <v>44</v>
      </c>
      <c r="AQ10" s="150" t="s">
        <v>45</v>
      </c>
    </row>
    <row r="11" spans="1:43" ht="15.75">
      <c r="A11" s="23">
        <v>1</v>
      </c>
      <c r="B11" s="390" t="s">
        <v>353</v>
      </c>
      <c r="C11" s="391"/>
      <c r="D11" s="9" t="s">
        <v>7</v>
      </c>
      <c r="E11" s="9" t="s">
        <v>5</v>
      </c>
      <c r="F11" s="9">
        <f>IF(D11="Adjunct Instructor",IF(E11="Part-time","","???"),"")</f>
      </c>
      <c r="G11" s="181"/>
      <c r="H11" s="184">
        <v>4844</v>
      </c>
      <c r="I11" s="10">
        <v>1</v>
      </c>
      <c r="J11" s="9" t="s">
        <v>59</v>
      </c>
      <c r="K11" s="196">
        <v>0.6</v>
      </c>
      <c r="L11" s="192">
        <v>0.3</v>
      </c>
      <c r="M11" s="193">
        <f>1-K11-L11-N11</f>
        <v>0.10000000000000003</v>
      </c>
      <c r="N11" s="197">
        <v>0</v>
      </c>
      <c r="O11" s="11" t="s">
        <v>34</v>
      </c>
      <c r="P11" s="11" t="s">
        <v>34</v>
      </c>
      <c r="Q11" s="11" t="s">
        <v>34</v>
      </c>
      <c r="R11" s="11" t="s">
        <v>34</v>
      </c>
      <c r="S11" s="11" t="s">
        <v>34</v>
      </c>
      <c r="T11" s="11" t="s">
        <v>34</v>
      </c>
      <c r="U11" s="11" t="s">
        <v>34</v>
      </c>
      <c r="V11" s="11" t="s">
        <v>34</v>
      </c>
      <c r="W11" s="11" t="s">
        <v>34</v>
      </c>
      <c r="X11" s="11" t="s">
        <v>34</v>
      </c>
      <c r="Y11" s="11" t="s">
        <v>34</v>
      </c>
      <c r="Z11" s="12" t="s">
        <v>34</v>
      </c>
      <c r="AA11" s="23">
        <f>COUNTA(O11:Z11)</f>
        <v>12</v>
      </c>
      <c r="AC11" s="154">
        <f>IF(B11="",0,IF(D11="Adjunct Instructor",G11,IF(E11="Part-time",G11*4.333*AA11*I11,2080/12*AA11*I11)))</f>
        <v>2080</v>
      </c>
      <c r="AD11" s="5">
        <f>IF(OR(D11="Director",D11="Asst Director"),9*8,0)</f>
        <v>72</v>
      </c>
      <c r="AE11" s="23">
        <f aca="true" t="shared" si="1" ref="AE11:AE25">IF(OR(D11="Student",D11="Adjunct Instructor"),0,ROUND($D$8*AC11/2080,0))</f>
        <v>160</v>
      </c>
      <c r="AF11" s="5">
        <f aca="true" t="shared" si="2" ref="AF11:AF25">IF(AC11&lt;&gt;0,((AC11-AD11-AE11)*$D$9),0)</f>
        <v>683.76</v>
      </c>
      <c r="AG11" s="153">
        <f>ROUND(IF(D11&lt;&gt;"Adjunct Instructor",IF(E11="full-time",H11,G11*H11*4.333),G11*H11/AA11),2)</f>
        <v>4844</v>
      </c>
      <c r="AH11" s="154">
        <f>ROUND(COUNTA(O11:Q11)*AG11*I11,2)</f>
        <v>14532</v>
      </c>
      <c r="AI11" s="154">
        <f>ROUND(COUNTA(R11:T11)*AG11*I11,2)</f>
        <v>14532</v>
      </c>
      <c r="AJ11" s="154">
        <f>ROUND(COUNTA(U11:W11)*AG11*I11,2)</f>
        <v>14532</v>
      </c>
      <c r="AK11" s="154">
        <f>ROUND(COUNTA(X11:Z11)*AG11*I11,2)</f>
        <v>14532</v>
      </c>
      <c r="AL11" s="151">
        <f>SUM(AH11:AK11)</f>
        <v>58128</v>
      </c>
      <c r="AM11" s="154">
        <f>ROUND(IF($E11="Full-time",AH11*$D$3,AH11*$D$4),2)</f>
        <v>5812.8</v>
      </c>
      <c r="AN11" s="154">
        <f>ROUND(IF($E11="Full-time",AI11*$D$3,AI11*$D$4),2)</f>
        <v>5812.8</v>
      </c>
      <c r="AO11" s="154">
        <f>ROUND(IF($E11="Full-time",AJ11*$D$3,AJ11*$D$4),2)</f>
        <v>5812.8</v>
      </c>
      <c r="AP11" s="154">
        <f>ROUND(IF($E11="Full-time",AK11*$D$3,AK11*$D$4),2)</f>
        <v>5812.8</v>
      </c>
      <c r="AQ11" s="151">
        <f>SUM(AM11:AP11)</f>
        <v>23251.2</v>
      </c>
    </row>
    <row r="12" spans="1:43" ht="15.75">
      <c r="A12" s="23">
        <v>2</v>
      </c>
      <c r="B12" s="390" t="s">
        <v>354</v>
      </c>
      <c r="C12" s="391"/>
      <c r="D12" s="13" t="s">
        <v>8</v>
      </c>
      <c r="E12" s="13" t="s">
        <v>5</v>
      </c>
      <c r="F12" s="13">
        <f>IF(D12="Adjunct Instructor",IF(E12="Part-time","","???"),"")</f>
      </c>
      <c r="G12" s="182">
        <v>0</v>
      </c>
      <c r="H12" s="185">
        <v>1000</v>
      </c>
      <c r="I12" s="14">
        <v>1</v>
      </c>
      <c r="J12" s="13" t="s">
        <v>59</v>
      </c>
      <c r="K12" s="198">
        <v>0</v>
      </c>
      <c r="L12" s="194">
        <v>1</v>
      </c>
      <c r="M12" s="195">
        <f>1-K12-L12-N12</f>
        <v>0</v>
      </c>
      <c r="N12" s="200">
        <f>N11</f>
        <v>0</v>
      </c>
      <c r="O12" s="189" t="s">
        <v>34</v>
      </c>
      <c r="P12" s="189" t="s">
        <v>34</v>
      </c>
      <c r="Q12" s="189" t="s">
        <v>34</v>
      </c>
      <c r="R12" s="189" t="s">
        <v>34</v>
      </c>
      <c r="S12" s="189" t="s">
        <v>34</v>
      </c>
      <c r="T12" s="189" t="s">
        <v>34</v>
      </c>
      <c r="U12" s="189" t="s">
        <v>34</v>
      </c>
      <c r="V12" s="189" t="s">
        <v>34</v>
      </c>
      <c r="W12" s="189" t="s">
        <v>34</v>
      </c>
      <c r="X12" s="189" t="s">
        <v>34</v>
      </c>
      <c r="Y12" s="189" t="s">
        <v>34</v>
      </c>
      <c r="Z12" s="15" t="s">
        <v>34</v>
      </c>
      <c r="AA12" s="23">
        <f aca="true" t="shared" si="3" ref="AA12:AA25">COUNTA(O12:Z12)</f>
        <v>12</v>
      </c>
      <c r="AC12" s="154">
        <f aca="true" t="shared" si="4" ref="AC12:AC25">IF(B12="",0,IF(D12="Adjunct Instructor",G12,IF(E12="Part-time",G12*4.333*AA12*I12,2080/12*AA12*I12)))</f>
        <v>2080</v>
      </c>
      <c r="AD12" s="5">
        <f>IF(OR(D12="Director",D12="Asst Director"),9*8,0)</f>
        <v>72</v>
      </c>
      <c r="AE12" s="23">
        <f t="shared" si="1"/>
        <v>160</v>
      </c>
      <c r="AF12" s="5">
        <f t="shared" si="2"/>
        <v>683.76</v>
      </c>
      <c r="AG12" s="153">
        <f aca="true" t="shared" si="5" ref="AG12:AG25">ROUND(IF(D12&lt;&gt;"Adjunct Instructor",IF(E12="full-time",H12,G12*H12*4.333),G12*H12/AA12),2)</f>
        <v>1000</v>
      </c>
      <c r="AH12" s="154">
        <f aca="true" t="shared" si="6" ref="AH12:AH25">ROUND(COUNTA(O12:Q12)*AG12*I12,2)</f>
        <v>3000</v>
      </c>
      <c r="AI12" s="154">
        <f aca="true" t="shared" si="7" ref="AI12:AI25">ROUND(COUNTA(R12:T12)*AG12*I12,2)</f>
        <v>3000</v>
      </c>
      <c r="AJ12" s="154">
        <f aca="true" t="shared" si="8" ref="AJ12:AJ25">ROUND(COUNTA(U12:W12)*AG12*I12,2)</f>
        <v>3000</v>
      </c>
      <c r="AK12" s="154">
        <f aca="true" t="shared" si="9" ref="AK12:AK25">ROUND(COUNTA(X12:Z12)*AG12*I12,2)</f>
        <v>3000</v>
      </c>
      <c r="AL12" s="151">
        <f aca="true" t="shared" si="10" ref="AL12:AL25">SUM(AH12:AK12)</f>
        <v>12000</v>
      </c>
      <c r="AM12" s="154">
        <f aca="true" t="shared" si="11" ref="AM12:AP25">ROUND(IF($E12="Full-time",AH12*$D$3,AH12*$D$4),2)</f>
        <v>1200</v>
      </c>
      <c r="AN12" s="154">
        <f t="shared" si="11"/>
        <v>1200</v>
      </c>
      <c r="AO12" s="154">
        <f t="shared" si="11"/>
        <v>1200</v>
      </c>
      <c r="AP12" s="154">
        <f t="shared" si="11"/>
        <v>1200</v>
      </c>
      <c r="AQ12" s="151">
        <f aca="true" t="shared" si="12" ref="AQ12:AQ25">SUM(AM12:AP12)</f>
        <v>4800</v>
      </c>
    </row>
    <row r="13" spans="1:43" ht="15.75">
      <c r="A13" s="23">
        <v>3</v>
      </c>
      <c r="B13" s="390" t="s">
        <v>355</v>
      </c>
      <c r="C13" s="391"/>
      <c r="D13" s="13" t="s">
        <v>9</v>
      </c>
      <c r="E13" s="13" t="s">
        <v>6</v>
      </c>
      <c r="F13" s="13">
        <f>IF(D13="Adjunct Instructor",IF(E13="Part-time","","???"),"")</f>
      </c>
      <c r="G13" s="182">
        <f>400/52</f>
        <v>7.6923076923076925</v>
      </c>
      <c r="H13" s="185">
        <v>20</v>
      </c>
      <c r="I13" s="14">
        <v>1</v>
      </c>
      <c r="J13" s="13"/>
      <c r="K13" s="198">
        <f aca="true" t="shared" si="13" ref="K13:K25">K12</f>
        <v>0</v>
      </c>
      <c r="L13" s="194">
        <f aca="true" t="shared" si="14" ref="L13:L25">L12</f>
        <v>1</v>
      </c>
      <c r="M13" s="195">
        <f aca="true" t="shared" si="15" ref="M13:M25">1-K13-L13-N13</f>
        <v>0</v>
      </c>
      <c r="N13" s="200">
        <f aca="true" t="shared" si="16" ref="N13:N25">N12</f>
        <v>0</v>
      </c>
      <c r="O13" s="189" t="s">
        <v>34</v>
      </c>
      <c r="P13" s="189" t="s">
        <v>34</v>
      </c>
      <c r="Q13" s="189" t="s">
        <v>34</v>
      </c>
      <c r="R13" s="189" t="s">
        <v>34</v>
      </c>
      <c r="S13" s="189" t="s">
        <v>34</v>
      </c>
      <c r="T13" s="189" t="s">
        <v>34</v>
      </c>
      <c r="U13" s="189" t="s">
        <v>34</v>
      </c>
      <c r="V13" s="189" t="s">
        <v>34</v>
      </c>
      <c r="W13" s="189" t="s">
        <v>34</v>
      </c>
      <c r="X13" s="189" t="s">
        <v>34</v>
      </c>
      <c r="Y13" s="189" t="s">
        <v>34</v>
      </c>
      <c r="Z13" s="15" t="s">
        <v>34</v>
      </c>
      <c r="AA13" s="23">
        <f t="shared" si="3"/>
        <v>12</v>
      </c>
      <c r="AC13" s="154">
        <f t="shared" si="4"/>
        <v>399.9692307692308</v>
      </c>
      <c r="AD13" s="5">
        <f aca="true" t="shared" si="17" ref="AD13:AD25">IF(OR(D13="Director",D13="Asst Director"),9*8,0)</f>
        <v>0</v>
      </c>
      <c r="AE13" s="23">
        <v>0</v>
      </c>
      <c r="AF13" s="5">
        <f t="shared" si="2"/>
        <v>147.9886153846154</v>
      </c>
      <c r="AG13" s="153">
        <f t="shared" si="5"/>
        <v>666.62</v>
      </c>
      <c r="AH13" s="154">
        <f t="shared" si="6"/>
        <v>1999.86</v>
      </c>
      <c r="AI13" s="154">
        <f t="shared" si="7"/>
        <v>1999.86</v>
      </c>
      <c r="AJ13" s="154">
        <f t="shared" si="8"/>
        <v>1999.86</v>
      </c>
      <c r="AK13" s="154">
        <f t="shared" si="9"/>
        <v>1999.86</v>
      </c>
      <c r="AL13" s="151">
        <f t="shared" si="10"/>
        <v>7999.44</v>
      </c>
      <c r="AM13" s="154">
        <f t="shared" si="11"/>
        <v>169.99</v>
      </c>
      <c r="AN13" s="154">
        <f t="shared" si="11"/>
        <v>169.99</v>
      </c>
      <c r="AO13" s="154">
        <f t="shared" si="11"/>
        <v>169.99</v>
      </c>
      <c r="AP13" s="154">
        <f t="shared" si="11"/>
        <v>169.99</v>
      </c>
      <c r="AQ13" s="151">
        <f t="shared" si="12"/>
        <v>679.96</v>
      </c>
    </row>
    <row r="14" spans="1:43" ht="15.75">
      <c r="A14" s="23">
        <v>4</v>
      </c>
      <c r="B14" s="390" t="s">
        <v>357</v>
      </c>
      <c r="C14" s="391"/>
      <c r="D14" s="13" t="s">
        <v>10</v>
      </c>
      <c r="E14" s="13" t="s">
        <v>6</v>
      </c>
      <c r="F14" s="13">
        <f>IF(D14="Adjunct Instructor",IF(E14="Part-time","","???"),"")</f>
      </c>
      <c r="G14" s="182">
        <f>750/52</f>
        <v>14.423076923076923</v>
      </c>
      <c r="H14" s="185">
        <v>20</v>
      </c>
      <c r="I14" s="14">
        <v>1</v>
      </c>
      <c r="J14" s="13"/>
      <c r="K14" s="198">
        <f t="shared" si="13"/>
        <v>0</v>
      </c>
      <c r="L14" s="194">
        <f t="shared" si="14"/>
        <v>1</v>
      </c>
      <c r="M14" s="195">
        <f t="shared" si="15"/>
        <v>0</v>
      </c>
      <c r="N14" s="200">
        <f t="shared" si="16"/>
        <v>0</v>
      </c>
      <c r="O14" s="189" t="s">
        <v>34</v>
      </c>
      <c r="P14" s="189" t="s">
        <v>34</v>
      </c>
      <c r="Q14" s="189" t="s">
        <v>34</v>
      </c>
      <c r="R14" s="189" t="s">
        <v>34</v>
      </c>
      <c r="S14" s="189" t="s">
        <v>34</v>
      </c>
      <c r="T14" s="189" t="s">
        <v>34</v>
      </c>
      <c r="U14" s="189" t="s">
        <v>34</v>
      </c>
      <c r="V14" s="189" t="s">
        <v>34</v>
      </c>
      <c r="W14" s="189" t="s">
        <v>34</v>
      </c>
      <c r="X14" s="189" t="s">
        <v>34</v>
      </c>
      <c r="Y14" s="189" t="s">
        <v>34</v>
      </c>
      <c r="Z14" s="15" t="s">
        <v>34</v>
      </c>
      <c r="AA14" s="23">
        <f t="shared" si="3"/>
        <v>12</v>
      </c>
      <c r="AC14" s="154">
        <f t="shared" si="4"/>
        <v>749.9423076923077</v>
      </c>
      <c r="AD14" s="5">
        <f t="shared" si="17"/>
        <v>0</v>
      </c>
      <c r="AE14" s="23">
        <v>0</v>
      </c>
      <c r="AF14" s="5">
        <f t="shared" si="2"/>
        <v>277.47865384615386</v>
      </c>
      <c r="AG14" s="153">
        <f t="shared" si="5"/>
        <v>1249.9</v>
      </c>
      <c r="AH14" s="154">
        <f t="shared" si="6"/>
        <v>3749.7</v>
      </c>
      <c r="AI14" s="154">
        <f t="shared" si="7"/>
        <v>3749.7</v>
      </c>
      <c r="AJ14" s="154">
        <f t="shared" si="8"/>
        <v>3749.7</v>
      </c>
      <c r="AK14" s="154">
        <f t="shared" si="9"/>
        <v>3749.7</v>
      </c>
      <c r="AL14" s="151">
        <f t="shared" si="10"/>
        <v>14998.8</v>
      </c>
      <c r="AM14" s="154">
        <f t="shared" si="11"/>
        <v>318.72</v>
      </c>
      <c r="AN14" s="154">
        <f t="shared" si="11"/>
        <v>318.72</v>
      </c>
      <c r="AO14" s="154">
        <f t="shared" si="11"/>
        <v>318.72</v>
      </c>
      <c r="AP14" s="154">
        <f t="shared" si="11"/>
        <v>318.72</v>
      </c>
      <c r="AQ14" s="151">
        <f t="shared" si="12"/>
        <v>1274.88</v>
      </c>
    </row>
    <row r="15" spans="1:43" ht="15.75">
      <c r="A15" s="23">
        <v>5</v>
      </c>
      <c r="B15" s="390" t="s">
        <v>356</v>
      </c>
      <c r="C15" s="391"/>
      <c r="D15" s="13" t="s">
        <v>10</v>
      </c>
      <c r="E15" s="13" t="s">
        <v>6</v>
      </c>
      <c r="F15" s="13">
        <f>IF(D15="Adjunct Instructor",IF(E15="Part-time","","???"),"")</f>
      </c>
      <c r="G15" s="182">
        <f>240/52</f>
        <v>4.615384615384615</v>
      </c>
      <c r="H15" s="185">
        <v>20</v>
      </c>
      <c r="I15" s="14">
        <v>1</v>
      </c>
      <c r="J15" s="13"/>
      <c r="K15" s="198">
        <f t="shared" si="13"/>
        <v>0</v>
      </c>
      <c r="L15" s="194">
        <f t="shared" si="14"/>
        <v>1</v>
      </c>
      <c r="M15" s="195">
        <f t="shared" si="15"/>
        <v>0</v>
      </c>
      <c r="N15" s="200">
        <f t="shared" si="16"/>
        <v>0</v>
      </c>
      <c r="O15" s="189" t="s">
        <v>34</v>
      </c>
      <c r="P15" s="189" t="s">
        <v>34</v>
      </c>
      <c r="Q15" s="189" t="s">
        <v>34</v>
      </c>
      <c r="R15" s="189" t="s">
        <v>34</v>
      </c>
      <c r="S15" s="189" t="s">
        <v>34</v>
      </c>
      <c r="T15" s="189" t="s">
        <v>34</v>
      </c>
      <c r="U15" s="189" t="s">
        <v>34</v>
      </c>
      <c r="V15" s="189" t="s">
        <v>34</v>
      </c>
      <c r="W15" s="189" t="s">
        <v>34</v>
      </c>
      <c r="X15" s="189" t="s">
        <v>34</v>
      </c>
      <c r="Y15" s="189" t="s">
        <v>34</v>
      </c>
      <c r="Z15" s="15" t="s">
        <v>34</v>
      </c>
      <c r="AA15" s="23">
        <f t="shared" si="3"/>
        <v>12</v>
      </c>
      <c r="AC15" s="154">
        <f t="shared" si="4"/>
        <v>239.98153846153843</v>
      </c>
      <c r="AD15" s="5">
        <f t="shared" si="17"/>
        <v>0</v>
      </c>
      <c r="AE15" s="23">
        <v>0</v>
      </c>
      <c r="AF15" s="5">
        <f t="shared" si="2"/>
        <v>88.79316923076922</v>
      </c>
      <c r="AG15" s="153">
        <f t="shared" si="5"/>
        <v>399.97</v>
      </c>
      <c r="AH15" s="154">
        <f t="shared" si="6"/>
        <v>1199.91</v>
      </c>
      <c r="AI15" s="154">
        <f t="shared" si="7"/>
        <v>1199.91</v>
      </c>
      <c r="AJ15" s="154">
        <f t="shared" si="8"/>
        <v>1199.91</v>
      </c>
      <c r="AK15" s="154">
        <f t="shared" si="9"/>
        <v>1199.91</v>
      </c>
      <c r="AL15" s="151">
        <f t="shared" si="10"/>
        <v>4799.64</v>
      </c>
      <c r="AM15" s="154">
        <f t="shared" si="11"/>
        <v>101.99</v>
      </c>
      <c r="AN15" s="154">
        <f t="shared" si="11"/>
        <v>101.99</v>
      </c>
      <c r="AO15" s="154">
        <f t="shared" si="11"/>
        <v>101.99</v>
      </c>
      <c r="AP15" s="154">
        <f t="shared" si="11"/>
        <v>101.99</v>
      </c>
      <c r="AQ15" s="151">
        <f t="shared" si="12"/>
        <v>407.96</v>
      </c>
    </row>
    <row r="16" spans="1:43" ht="15.75">
      <c r="A16" s="23">
        <v>6</v>
      </c>
      <c r="B16" s="390"/>
      <c r="C16" s="391"/>
      <c r="D16" s="13"/>
      <c r="E16" s="13"/>
      <c r="F16" s="13"/>
      <c r="G16" s="182"/>
      <c r="H16" s="185"/>
      <c r="I16" s="14">
        <v>1</v>
      </c>
      <c r="J16" s="13"/>
      <c r="K16" s="198">
        <f t="shared" si="13"/>
        <v>0</v>
      </c>
      <c r="L16" s="194">
        <f t="shared" si="14"/>
        <v>1</v>
      </c>
      <c r="M16" s="195">
        <f t="shared" si="15"/>
        <v>0</v>
      </c>
      <c r="N16" s="200">
        <f t="shared" si="16"/>
        <v>0</v>
      </c>
      <c r="O16" s="189" t="s">
        <v>34</v>
      </c>
      <c r="P16" s="189" t="s">
        <v>34</v>
      </c>
      <c r="Q16" s="189" t="s">
        <v>34</v>
      </c>
      <c r="R16" s="189" t="s">
        <v>34</v>
      </c>
      <c r="S16" s="189" t="s">
        <v>34</v>
      </c>
      <c r="T16" s="189" t="s">
        <v>34</v>
      </c>
      <c r="U16" s="189" t="s">
        <v>34</v>
      </c>
      <c r="V16" s="189" t="s">
        <v>34</v>
      </c>
      <c r="W16" s="189" t="s">
        <v>34</v>
      </c>
      <c r="X16" s="189" t="s">
        <v>34</v>
      </c>
      <c r="Y16" s="189" t="s">
        <v>34</v>
      </c>
      <c r="Z16" s="15" t="s">
        <v>34</v>
      </c>
      <c r="AA16" s="23">
        <f t="shared" si="3"/>
        <v>12</v>
      </c>
      <c r="AC16" s="154">
        <f t="shared" si="4"/>
        <v>0</v>
      </c>
      <c r="AD16" s="5">
        <f t="shared" si="17"/>
        <v>0</v>
      </c>
      <c r="AE16" s="23">
        <f t="shared" si="1"/>
        <v>0</v>
      </c>
      <c r="AF16" s="5">
        <f t="shared" si="2"/>
        <v>0</v>
      </c>
      <c r="AG16" s="153">
        <f t="shared" si="5"/>
        <v>0</v>
      </c>
      <c r="AH16" s="154">
        <f t="shared" si="6"/>
        <v>0</v>
      </c>
      <c r="AI16" s="154">
        <f t="shared" si="7"/>
        <v>0</v>
      </c>
      <c r="AJ16" s="154">
        <f t="shared" si="8"/>
        <v>0</v>
      </c>
      <c r="AK16" s="154">
        <f t="shared" si="9"/>
        <v>0</v>
      </c>
      <c r="AL16" s="151">
        <f t="shared" si="10"/>
        <v>0</v>
      </c>
      <c r="AM16" s="154">
        <f t="shared" si="11"/>
        <v>0</v>
      </c>
      <c r="AN16" s="154">
        <f t="shared" si="11"/>
        <v>0</v>
      </c>
      <c r="AO16" s="154">
        <f t="shared" si="11"/>
        <v>0</v>
      </c>
      <c r="AP16" s="154">
        <f t="shared" si="11"/>
        <v>0</v>
      </c>
      <c r="AQ16" s="151">
        <f t="shared" si="12"/>
        <v>0</v>
      </c>
    </row>
    <row r="17" spans="1:43" ht="15.75">
      <c r="A17" s="23">
        <v>7</v>
      </c>
      <c r="B17" s="390"/>
      <c r="C17" s="391"/>
      <c r="D17" s="13"/>
      <c r="E17" s="13"/>
      <c r="F17" s="13"/>
      <c r="G17" s="182"/>
      <c r="H17" s="185"/>
      <c r="I17" s="14">
        <v>1</v>
      </c>
      <c r="J17" s="13"/>
      <c r="K17" s="198">
        <f t="shared" si="13"/>
        <v>0</v>
      </c>
      <c r="L17" s="194">
        <f t="shared" si="14"/>
        <v>1</v>
      </c>
      <c r="M17" s="195">
        <f t="shared" si="15"/>
        <v>0</v>
      </c>
      <c r="N17" s="200">
        <f t="shared" si="16"/>
        <v>0</v>
      </c>
      <c r="O17" s="189" t="s">
        <v>34</v>
      </c>
      <c r="P17" s="189" t="s">
        <v>34</v>
      </c>
      <c r="Q17" s="189" t="s">
        <v>34</v>
      </c>
      <c r="R17" s="189" t="s">
        <v>34</v>
      </c>
      <c r="S17" s="189" t="s">
        <v>34</v>
      </c>
      <c r="T17" s="189" t="s">
        <v>34</v>
      </c>
      <c r="U17" s="189" t="s">
        <v>34</v>
      </c>
      <c r="V17" s="189" t="s">
        <v>34</v>
      </c>
      <c r="W17" s="189" t="s">
        <v>34</v>
      </c>
      <c r="X17" s="189" t="s">
        <v>34</v>
      </c>
      <c r="Y17" s="189" t="s">
        <v>34</v>
      </c>
      <c r="Z17" s="15" t="s">
        <v>34</v>
      </c>
      <c r="AA17" s="23">
        <f t="shared" si="3"/>
        <v>12</v>
      </c>
      <c r="AC17" s="154">
        <f t="shared" si="4"/>
        <v>0</v>
      </c>
      <c r="AD17" s="5">
        <f t="shared" si="17"/>
        <v>0</v>
      </c>
      <c r="AE17" s="23">
        <f t="shared" si="1"/>
        <v>0</v>
      </c>
      <c r="AF17" s="5">
        <f t="shared" si="2"/>
        <v>0</v>
      </c>
      <c r="AG17" s="153">
        <f t="shared" si="5"/>
        <v>0</v>
      </c>
      <c r="AH17" s="154">
        <f t="shared" si="6"/>
        <v>0</v>
      </c>
      <c r="AI17" s="154">
        <f t="shared" si="7"/>
        <v>0</v>
      </c>
      <c r="AJ17" s="154">
        <f t="shared" si="8"/>
        <v>0</v>
      </c>
      <c r="AK17" s="154">
        <f t="shared" si="9"/>
        <v>0</v>
      </c>
      <c r="AL17" s="151">
        <f t="shared" si="10"/>
        <v>0</v>
      </c>
      <c r="AM17" s="154">
        <f t="shared" si="11"/>
        <v>0</v>
      </c>
      <c r="AN17" s="154">
        <f t="shared" si="11"/>
        <v>0</v>
      </c>
      <c r="AO17" s="154">
        <f t="shared" si="11"/>
        <v>0</v>
      </c>
      <c r="AP17" s="154">
        <f t="shared" si="11"/>
        <v>0</v>
      </c>
      <c r="AQ17" s="151">
        <f t="shared" si="12"/>
        <v>0</v>
      </c>
    </row>
    <row r="18" spans="1:43" ht="15.75">
      <c r="A18" s="23">
        <v>8</v>
      </c>
      <c r="B18" s="390"/>
      <c r="C18" s="391"/>
      <c r="D18" s="13"/>
      <c r="E18" s="13"/>
      <c r="F18" s="13"/>
      <c r="G18" s="182"/>
      <c r="H18" s="185"/>
      <c r="I18" s="14">
        <v>1</v>
      </c>
      <c r="J18" s="13"/>
      <c r="K18" s="198">
        <f t="shared" si="13"/>
        <v>0</v>
      </c>
      <c r="L18" s="194">
        <f t="shared" si="14"/>
        <v>1</v>
      </c>
      <c r="M18" s="195">
        <f t="shared" si="15"/>
        <v>0</v>
      </c>
      <c r="N18" s="200">
        <f t="shared" si="16"/>
        <v>0</v>
      </c>
      <c r="O18" s="189" t="s">
        <v>34</v>
      </c>
      <c r="P18" s="189" t="s">
        <v>34</v>
      </c>
      <c r="Q18" s="189" t="s">
        <v>34</v>
      </c>
      <c r="R18" s="189" t="s">
        <v>34</v>
      </c>
      <c r="S18" s="189" t="s">
        <v>34</v>
      </c>
      <c r="T18" s="189" t="s">
        <v>34</v>
      </c>
      <c r="U18" s="189" t="s">
        <v>34</v>
      </c>
      <c r="V18" s="189" t="s">
        <v>34</v>
      </c>
      <c r="W18" s="189" t="s">
        <v>34</v>
      </c>
      <c r="X18" s="189" t="s">
        <v>34</v>
      </c>
      <c r="Y18" s="189" t="s">
        <v>34</v>
      </c>
      <c r="Z18" s="15" t="s">
        <v>34</v>
      </c>
      <c r="AA18" s="23">
        <f t="shared" si="3"/>
        <v>12</v>
      </c>
      <c r="AC18" s="154">
        <f t="shared" si="4"/>
        <v>0</v>
      </c>
      <c r="AD18" s="5">
        <f t="shared" si="17"/>
        <v>0</v>
      </c>
      <c r="AE18" s="23">
        <f t="shared" si="1"/>
        <v>0</v>
      </c>
      <c r="AF18" s="5">
        <f t="shared" si="2"/>
        <v>0</v>
      </c>
      <c r="AG18" s="153">
        <f t="shared" si="5"/>
        <v>0</v>
      </c>
      <c r="AH18" s="154">
        <f t="shared" si="6"/>
        <v>0</v>
      </c>
      <c r="AI18" s="154">
        <f t="shared" si="7"/>
        <v>0</v>
      </c>
      <c r="AJ18" s="154">
        <f t="shared" si="8"/>
        <v>0</v>
      </c>
      <c r="AK18" s="154">
        <f t="shared" si="9"/>
        <v>0</v>
      </c>
      <c r="AL18" s="151">
        <f t="shared" si="10"/>
        <v>0</v>
      </c>
      <c r="AM18" s="154">
        <f t="shared" si="11"/>
        <v>0</v>
      </c>
      <c r="AN18" s="154">
        <f t="shared" si="11"/>
        <v>0</v>
      </c>
      <c r="AO18" s="154">
        <f t="shared" si="11"/>
        <v>0</v>
      </c>
      <c r="AP18" s="154">
        <f t="shared" si="11"/>
        <v>0</v>
      </c>
      <c r="AQ18" s="151">
        <f t="shared" si="12"/>
        <v>0</v>
      </c>
    </row>
    <row r="19" spans="1:43" ht="15.75">
      <c r="A19" s="23">
        <v>9</v>
      </c>
      <c r="B19" s="390"/>
      <c r="C19" s="391"/>
      <c r="D19" s="13"/>
      <c r="E19" s="13"/>
      <c r="F19" s="13">
        <f aca="true" t="shared" si="18" ref="F19:F25">IF(D19="Adjunct Instructor",IF(E19="Part-time","","???"),"")</f>
      </c>
      <c r="G19" s="182"/>
      <c r="H19" s="185"/>
      <c r="I19" s="14">
        <v>1</v>
      </c>
      <c r="J19" s="13"/>
      <c r="K19" s="198">
        <f t="shared" si="13"/>
        <v>0</v>
      </c>
      <c r="L19" s="194">
        <f t="shared" si="14"/>
        <v>1</v>
      </c>
      <c r="M19" s="195">
        <f t="shared" si="15"/>
        <v>0</v>
      </c>
      <c r="N19" s="200">
        <f t="shared" si="16"/>
        <v>0</v>
      </c>
      <c r="O19" s="189" t="s">
        <v>34</v>
      </c>
      <c r="P19" s="189" t="s">
        <v>34</v>
      </c>
      <c r="Q19" s="189" t="s">
        <v>34</v>
      </c>
      <c r="R19" s="189" t="s">
        <v>34</v>
      </c>
      <c r="S19" s="189" t="s">
        <v>34</v>
      </c>
      <c r="T19" s="189" t="s">
        <v>34</v>
      </c>
      <c r="U19" s="189" t="s">
        <v>34</v>
      </c>
      <c r="V19" s="189" t="s">
        <v>34</v>
      </c>
      <c r="W19" s="189" t="s">
        <v>34</v>
      </c>
      <c r="X19" s="189" t="s">
        <v>34</v>
      </c>
      <c r="Y19" s="189" t="s">
        <v>34</v>
      </c>
      <c r="Z19" s="15" t="s">
        <v>34</v>
      </c>
      <c r="AA19" s="23">
        <f t="shared" si="3"/>
        <v>12</v>
      </c>
      <c r="AC19" s="154">
        <f t="shared" si="4"/>
        <v>0</v>
      </c>
      <c r="AD19" s="5">
        <f t="shared" si="17"/>
        <v>0</v>
      </c>
      <c r="AE19" s="23">
        <f t="shared" si="1"/>
        <v>0</v>
      </c>
      <c r="AF19" s="5">
        <f t="shared" si="2"/>
        <v>0</v>
      </c>
      <c r="AG19" s="153">
        <f t="shared" si="5"/>
        <v>0</v>
      </c>
      <c r="AH19" s="154">
        <f t="shared" si="6"/>
        <v>0</v>
      </c>
      <c r="AI19" s="154">
        <f t="shared" si="7"/>
        <v>0</v>
      </c>
      <c r="AJ19" s="154">
        <f t="shared" si="8"/>
        <v>0</v>
      </c>
      <c r="AK19" s="154">
        <f t="shared" si="9"/>
        <v>0</v>
      </c>
      <c r="AL19" s="151">
        <f t="shared" si="10"/>
        <v>0</v>
      </c>
      <c r="AM19" s="154">
        <f t="shared" si="11"/>
        <v>0</v>
      </c>
      <c r="AN19" s="154">
        <f t="shared" si="11"/>
        <v>0</v>
      </c>
      <c r="AO19" s="154">
        <f t="shared" si="11"/>
        <v>0</v>
      </c>
      <c r="AP19" s="154">
        <f t="shared" si="11"/>
        <v>0</v>
      </c>
      <c r="AQ19" s="151">
        <f t="shared" si="12"/>
        <v>0</v>
      </c>
    </row>
    <row r="20" spans="1:43" ht="15.75">
      <c r="A20" s="23">
        <v>10</v>
      </c>
      <c r="B20" s="390"/>
      <c r="C20" s="391"/>
      <c r="D20" s="13"/>
      <c r="E20" s="13"/>
      <c r="F20" s="13">
        <f t="shared" si="18"/>
      </c>
      <c r="G20" s="182"/>
      <c r="H20" s="185"/>
      <c r="I20" s="14">
        <v>1</v>
      </c>
      <c r="J20" s="13"/>
      <c r="K20" s="198">
        <f t="shared" si="13"/>
        <v>0</v>
      </c>
      <c r="L20" s="194">
        <f t="shared" si="14"/>
        <v>1</v>
      </c>
      <c r="M20" s="195">
        <f t="shared" si="15"/>
        <v>0</v>
      </c>
      <c r="N20" s="200">
        <f t="shared" si="16"/>
        <v>0</v>
      </c>
      <c r="O20" s="189" t="s">
        <v>34</v>
      </c>
      <c r="P20" s="189" t="s">
        <v>34</v>
      </c>
      <c r="Q20" s="189" t="s">
        <v>34</v>
      </c>
      <c r="R20" s="189" t="s">
        <v>34</v>
      </c>
      <c r="S20" s="189" t="s">
        <v>34</v>
      </c>
      <c r="T20" s="189" t="s">
        <v>34</v>
      </c>
      <c r="U20" s="189" t="s">
        <v>34</v>
      </c>
      <c r="V20" s="189" t="s">
        <v>34</v>
      </c>
      <c r="W20" s="189" t="s">
        <v>34</v>
      </c>
      <c r="X20" s="189" t="s">
        <v>34</v>
      </c>
      <c r="Y20" s="189" t="s">
        <v>34</v>
      </c>
      <c r="Z20" s="15" t="s">
        <v>34</v>
      </c>
      <c r="AA20" s="23">
        <f t="shared" si="3"/>
        <v>12</v>
      </c>
      <c r="AC20" s="154">
        <f t="shared" si="4"/>
        <v>0</v>
      </c>
      <c r="AD20" s="5">
        <f t="shared" si="17"/>
        <v>0</v>
      </c>
      <c r="AE20" s="23">
        <f t="shared" si="1"/>
        <v>0</v>
      </c>
      <c r="AF20" s="5">
        <f t="shared" si="2"/>
        <v>0</v>
      </c>
      <c r="AG20" s="153">
        <f t="shared" si="5"/>
        <v>0</v>
      </c>
      <c r="AH20" s="154">
        <f t="shared" si="6"/>
        <v>0</v>
      </c>
      <c r="AI20" s="154">
        <f t="shared" si="7"/>
        <v>0</v>
      </c>
      <c r="AJ20" s="154">
        <f t="shared" si="8"/>
        <v>0</v>
      </c>
      <c r="AK20" s="154">
        <f t="shared" si="9"/>
        <v>0</v>
      </c>
      <c r="AL20" s="151">
        <f t="shared" si="10"/>
        <v>0</v>
      </c>
      <c r="AM20" s="154">
        <f t="shared" si="11"/>
        <v>0</v>
      </c>
      <c r="AN20" s="154">
        <f t="shared" si="11"/>
        <v>0</v>
      </c>
      <c r="AO20" s="154">
        <f t="shared" si="11"/>
        <v>0</v>
      </c>
      <c r="AP20" s="154">
        <f t="shared" si="11"/>
        <v>0</v>
      </c>
      <c r="AQ20" s="151">
        <f t="shared" si="12"/>
        <v>0</v>
      </c>
    </row>
    <row r="21" spans="1:43" ht="15.75">
      <c r="A21" s="23">
        <v>11</v>
      </c>
      <c r="B21" s="390"/>
      <c r="C21" s="391"/>
      <c r="D21" s="13"/>
      <c r="E21" s="13"/>
      <c r="F21" s="13">
        <f t="shared" si="18"/>
      </c>
      <c r="G21" s="182"/>
      <c r="H21" s="185"/>
      <c r="I21" s="14">
        <v>1</v>
      </c>
      <c r="J21" s="13"/>
      <c r="K21" s="198">
        <f t="shared" si="13"/>
        <v>0</v>
      </c>
      <c r="L21" s="194">
        <f t="shared" si="14"/>
        <v>1</v>
      </c>
      <c r="M21" s="195">
        <f t="shared" si="15"/>
        <v>0</v>
      </c>
      <c r="N21" s="200">
        <f t="shared" si="16"/>
        <v>0</v>
      </c>
      <c r="O21" s="189" t="s">
        <v>34</v>
      </c>
      <c r="P21" s="189" t="s">
        <v>34</v>
      </c>
      <c r="Q21" s="189" t="s">
        <v>34</v>
      </c>
      <c r="R21" s="189" t="s">
        <v>34</v>
      </c>
      <c r="S21" s="189" t="s">
        <v>34</v>
      </c>
      <c r="T21" s="189" t="s">
        <v>34</v>
      </c>
      <c r="U21" s="189" t="s">
        <v>34</v>
      </c>
      <c r="V21" s="189" t="s">
        <v>34</v>
      </c>
      <c r="W21" s="189" t="s">
        <v>34</v>
      </c>
      <c r="X21" s="189" t="s">
        <v>34</v>
      </c>
      <c r="Y21" s="189" t="s">
        <v>34</v>
      </c>
      <c r="Z21" s="15" t="s">
        <v>34</v>
      </c>
      <c r="AA21" s="23">
        <f t="shared" si="3"/>
        <v>12</v>
      </c>
      <c r="AC21" s="154">
        <f t="shared" si="4"/>
        <v>0</v>
      </c>
      <c r="AD21" s="5">
        <f t="shared" si="17"/>
        <v>0</v>
      </c>
      <c r="AE21" s="23">
        <f t="shared" si="1"/>
        <v>0</v>
      </c>
      <c r="AF21" s="5">
        <f t="shared" si="2"/>
        <v>0</v>
      </c>
      <c r="AG21" s="153">
        <f t="shared" si="5"/>
        <v>0</v>
      </c>
      <c r="AH21" s="154">
        <f t="shared" si="6"/>
        <v>0</v>
      </c>
      <c r="AI21" s="154">
        <f t="shared" si="7"/>
        <v>0</v>
      </c>
      <c r="AJ21" s="154">
        <f t="shared" si="8"/>
        <v>0</v>
      </c>
      <c r="AK21" s="154">
        <f t="shared" si="9"/>
        <v>0</v>
      </c>
      <c r="AL21" s="151">
        <f t="shared" si="10"/>
        <v>0</v>
      </c>
      <c r="AM21" s="154">
        <f t="shared" si="11"/>
        <v>0</v>
      </c>
      <c r="AN21" s="154">
        <f t="shared" si="11"/>
        <v>0</v>
      </c>
      <c r="AO21" s="154">
        <f t="shared" si="11"/>
        <v>0</v>
      </c>
      <c r="AP21" s="154">
        <f t="shared" si="11"/>
        <v>0</v>
      </c>
      <c r="AQ21" s="151">
        <f t="shared" si="12"/>
        <v>0</v>
      </c>
    </row>
    <row r="22" spans="1:43" ht="15.75">
      <c r="A22" s="23">
        <v>12</v>
      </c>
      <c r="B22" s="390"/>
      <c r="C22" s="391"/>
      <c r="D22" s="13"/>
      <c r="E22" s="13"/>
      <c r="F22" s="13">
        <f t="shared" si="18"/>
      </c>
      <c r="G22" s="182"/>
      <c r="H22" s="185"/>
      <c r="I22" s="14">
        <v>1</v>
      </c>
      <c r="J22" s="13"/>
      <c r="K22" s="198">
        <f t="shared" si="13"/>
        <v>0</v>
      </c>
      <c r="L22" s="194">
        <f t="shared" si="14"/>
        <v>1</v>
      </c>
      <c r="M22" s="195">
        <f t="shared" si="15"/>
        <v>0</v>
      </c>
      <c r="N22" s="200">
        <f t="shared" si="16"/>
        <v>0</v>
      </c>
      <c r="O22" s="189" t="s">
        <v>34</v>
      </c>
      <c r="P22" s="189" t="s">
        <v>34</v>
      </c>
      <c r="Q22" s="189" t="s">
        <v>34</v>
      </c>
      <c r="R22" s="189" t="s">
        <v>34</v>
      </c>
      <c r="S22" s="189" t="s">
        <v>34</v>
      </c>
      <c r="T22" s="189" t="s">
        <v>34</v>
      </c>
      <c r="U22" s="189" t="s">
        <v>34</v>
      </c>
      <c r="V22" s="189" t="s">
        <v>34</v>
      </c>
      <c r="W22" s="189" t="s">
        <v>34</v>
      </c>
      <c r="X22" s="189" t="s">
        <v>34</v>
      </c>
      <c r="Y22" s="189" t="s">
        <v>34</v>
      </c>
      <c r="Z22" s="15" t="s">
        <v>34</v>
      </c>
      <c r="AA22" s="23">
        <f t="shared" si="3"/>
        <v>12</v>
      </c>
      <c r="AC22" s="154">
        <f t="shared" si="4"/>
        <v>0</v>
      </c>
      <c r="AD22" s="5">
        <f t="shared" si="17"/>
        <v>0</v>
      </c>
      <c r="AE22" s="23">
        <f t="shared" si="1"/>
        <v>0</v>
      </c>
      <c r="AF22" s="5">
        <f t="shared" si="2"/>
        <v>0</v>
      </c>
      <c r="AG22" s="153">
        <f t="shared" si="5"/>
        <v>0</v>
      </c>
      <c r="AH22" s="154">
        <f t="shared" si="6"/>
        <v>0</v>
      </c>
      <c r="AI22" s="154">
        <f t="shared" si="7"/>
        <v>0</v>
      </c>
      <c r="AJ22" s="154">
        <f t="shared" si="8"/>
        <v>0</v>
      </c>
      <c r="AK22" s="154">
        <f t="shared" si="9"/>
        <v>0</v>
      </c>
      <c r="AL22" s="151">
        <f t="shared" si="10"/>
        <v>0</v>
      </c>
      <c r="AM22" s="154">
        <f t="shared" si="11"/>
        <v>0</v>
      </c>
      <c r="AN22" s="154">
        <f t="shared" si="11"/>
        <v>0</v>
      </c>
      <c r="AO22" s="154">
        <f t="shared" si="11"/>
        <v>0</v>
      </c>
      <c r="AP22" s="154">
        <f t="shared" si="11"/>
        <v>0</v>
      </c>
      <c r="AQ22" s="151">
        <f t="shared" si="12"/>
        <v>0</v>
      </c>
    </row>
    <row r="23" spans="1:43" ht="15.75">
      <c r="A23" s="23">
        <v>13</v>
      </c>
      <c r="B23" s="390"/>
      <c r="C23" s="391"/>
      <c r="D23" s="13"/>
      <c r="E23" s="13"/>
      <c r="F23" s="13">
        <f t="shared" si="18"/>
      </c>
      <c r="G23" s="182"/>
      <c r="H23" s="185"/>
      <c r="I23" s="14">
        <v>1</v>
      </c>
      <c r="J23" s="13"/>
      <c r="K23" s="198">
        <f t="shared" si="13"/>
        <v>0</v>
      </c>
      <c r="L23" s="194">
        <f t="shared" si="14"/>
        <v>1</v>
      </c>
      <c r="M23" s="195">
        <f t="shared" si="15"/>
        <v>0</v>
      </c>
      <c r="N23" s="200">
        <f t="shared" si="16"/>
        <v>0</v>
      </c>
      <c r="O23" s="189" t="s">
        <v>34</v>
      </c>
      <c r="P23" s="189" t="s">
        <v>34</v>
      </c>
      <c r="Q23" s="189" t="s">
        <v>34</v>
      </c>
      <c r="R23" s="189" t="s">
        <v>34</v>
      </c>
      <c r="S23" s="189" t="s">
        <v>34</v>
      </c>
      <c r="T23" s="189" t="s">
        <v>34</v>
      </c>
      <c r="U23" s="189" t="s">
        <v>34</v>
      </c>
      <c r="V23" s="189" t="s">
        <v>34</v>
      </c>
      <c r="W23" s="189" t="s">
        <v>34</v>
      </c>
      <c r="X23" s="189" t="s">
        <v>34</v>
      </c>
      <c r="Y23" s="189" t="s">
        <v>34</v>
      </c>
      <c r="Z23" s="15" t="s">
        <v>34</v>
      </c>
      <c r="AA23" s="23">
        <f t="shared" si="3"/>
        <v>12</v>
      </c>
      <c r="AC23" s="154">
        <f t="shared" si="4"/>
        <v>0</v>
      </c>
      <c r="AD23" s="5">
        <f t="shared" si="17"/>
        <v>0</v>
      </c>
      <c r="AE23" s="23">
        <f t="shared" si="1"/>
        <v>0</v>
      </c>
      <c r="AF23" s="5">
        <f t="shared" si="2"/>
        <v>0</v>
      </c>
      <c r="AG23" s="153">
        <f t="shared" si="5"/>
        <v>0</v>
      </c>
      <c r="AH23" s="154">
        <f t="shared" si="6"/>
        <v>0</v>
      </c>
      <c r="AI23" s="154">
        <f t="shared" si="7"/>
        <v>0</v>
      </c>
      <c r="AJ23" s="154">
        <f t="shared" si="8"/>
        <v>0</v>
      </c>
      <c r="AK23" s="154">
        <f t="shared" si="9"/>
        <v>0</v>
      </c>
      <c r="AL23" s="151">
        <f t="shared" si="10"/>
        <v>0</v>
      </c>
      <c r="AM23" s="154">
        <f t="shared" si="11"/>
        <v>0</v>
      </c>
      <c r="AN23" s="154">
        <f t="shared" si="11"/>
        <v>0</v>
      </c>
      <c r="AO23" s="154">
        <f t="shared" si="11"/>
        <v>0</v>
      </c>
      <c r="AP23" s="154">
        <f t="shared" si="11"/>
        <v>0</v>
      </c>
      <c r="AQ23" s="151">
        <f t="shared" si="12"/>
        <v>0</v>
      </c>
    </row>
    <row r="24" spans="1:43" ht="15.75">
      <c r="A24" s="23">
        <v>14</v>
      </c>
      <c r="B24" s="390"/>
      <c r="C24" s="391"/>
      <c r="D24" s="13"/>
      <c r="E24" s="13"/>
      <c r="F24" s="13">
        <f t="shared" si="18"/>
      </c>
      <c r="G24" s="182"/>
      <c r="H24" s="185"/>
      <c r="I24" s="14">
        <v>1</v>
      </c>
      <c r="J24" s="13"/>
      <c r="K24" s="198">
        <f t="shared" si="13"/>
        <v>0</v>
      </c>
      <c r="L24" s="194">
        <f t="shared" si="14"/>
        <v>1</v>
      </c>
      <c r="M24" s="195">
        <f t="shared" si="15"/>
        <v>0</v>
      </c>
      <c r="N24" s="200">
        <f t="shared" si="16"/>
        <v>0</v>
      </c>
      <c r="O24" s="189" t="s">
        <v>34</v>
      </c>
      <c r="P24" s="189" t="s">
        <v>34</v>
      </c>
      <c r="Q24" s="189" t="s">
        <v>34</v>
      </c>
      <c r="R24" s="189" t="s">
        <v>34</v>
      </c>
      <c r="S24" s="189" t="s">
        <v>34</v>
      </c>
      <c r="T24" s="189" t="s">
        <v>34</v>
      </c>
      <c r="U24" s="189" t="s">
        <v>34</v>
      </c>
      <c r="V24" s="189" t="s">
        <v>34</v>
      </c>
      <c r="W24" s="189" t="s">
        <v>34</v>
      </c>
      <c r="X24" s="189" t="s">
        <v>34</v>
      </c>
      <c r="Y24" s="189" t="s">
        <v>34</v>
      </c>
      <c r="Z24" s="15" t="s">
        <v>34</v>
      </c>
      <c r="AA24" s="23">
        <f t="shared" si="3"/>
        <v>12</v>
      </c>
      <c r="AC24" s="154">
        <f t="shared" si="4"/>
        <v>0</v>
      </c>
      <c r="AD24" s="5">
        <f t="shared" si="17"/>
        <v>0</v>
      </c>
      <c r="AE24" s="23">
        <f t="shared" si="1"/>
        <v>0</v>
      </c>
      <c r="AF24" s="5">
        <f t="shared" si="2"/>
        <v>0</v>
      </c>
      <c r="AG24" s="153">
        <f t="shared" si="5"/>
        <v>0</v>
      </c>
      <c r="AH24" s="154">
        <f t="shared" si="6"/>
        <v>0</v>
      </c>
      <c r="AI24" s="154">
        <f t="shared" si="7"/>
        <v>0</v>
      </c>
      <c r="AJ24" s="154">
        <f t="shared" si="8"/>
        <v>0</v>
      </c>
      <c r="AK24" s="154">
        <f t="shared" si="9"/>
        <v>0</v>
      </c>
      <c r="AL24" s="151">
        <f t="shared" si="10"/>
        <v>0</v>
      </c>
      <c r="AM24" s="154">
        <f t="shared" si="11"/>
        <v>0</v>
      </c>
      <c r="AN24" s="154">
        <f t="shared" si="11"/>
        <v>0</v>
      </c>
      <c r="AO24" s="154">
        <f t="shared" si="11"/>
        <v>0</v>
      </c>
      <c r="AP24" s="154">
        <f t="shared" si="11"/>
        <v>0</v>
      </c>
      <c r="AQ24" s="151">
        <f t="shared" si="12"/>
        <v>0</v>
      </c>
    </row>
    <row r="25" spans="1:43" ht="15.75">
      <c r="A25" s="23">
        <v>15</v>
      </c>
      <c r="B25" s="388"/>
      <c r="C25" s="389"/>
      <c r="D25" s="16"/>
      <c r="E25" s="16"/>
      <c r="F25" s="16">
        <f t="shared" si="18"/>
      </c>
      <c r="G25" s="183"/>
      <c r="H25" s="186"/>
      <c r="I25" s="17">
        <v>1</v>
      </c>
      <c r="J25" s="16"/>
      <c r="K25" s="202">
        <f t="shared" si="13"/>
        <v>0</v>
      </c>
      <c r="L25" s="203">
        <f t="shared" si="14"/>
        <v>1</v>
      </c>
      <c r="M25" s="204">
        <f t="shared" si="15"/>
        <v>0</v>
      </c>
      <c r="N25" s="205">
        <f t="shared" si="16"/>
        <v>0</v>
      </c>
      <c r="O25" s="190" t="s">
        <v>34</v>
      </c>
      <c r="P25" s="190" t="s">
        <v>34</v>
      </c>
      <c r="Q25" s="190" t="s">
        <v>34</v>
      </c>
      <c r="R25" s="190" t="s">
        <v>34</v>
      </c>
      <c r="S25" s="190" t="s">
        <v>34</v>
      </c>
      <c r="T25" s="190" t="s">
        <v>34</v>
      </c>
      <c r="U25" s="190" t="s">
        <v>34</v>
      </c>
      <c r="V25" s="190" t="s">
        <v>34</v>
      </c>
      <c r="W25" s="190" t="s">
        <v>34</v>
      </c>
      <c r="X25" s="190" t="s">
        <v>34</v>
      </c>
      <c r="Y25" s="190" t="s">
        <v>34</v>
      </c>
      <c r="Z25" s="18" t="s">
        <v>34</v>
      </c>
      <c r="AA25" s="23">
        <f t="shared" si="3"/>
        <v>12</v>
      </c>
      <c r="AC25" s="154">
        <f t="shared" si="4"/>
        <v>0</v>
      </c>
      <c r="AD25" s="5">
        <f t="shared" si="17"/>
        <v>0</v>
      </c>
      <c r="AE25" s="23">
        <f t="shared" si="1"/>
        <v>0</v>
      </c>
      <c r="AF25" s="5">
        <f t="shared" si="2"/>
        <v>0</v>
      </c>
      <c r="AG25" s="153">
        <f t="shared" si="5"/>
        <v>0</v>
      </c>
      <c r="AH25" s="154">
        <f t="shared" si="6"/>
        <v>0</v>
      </c>
      <c r="AI25" s="154">
        <f t="shared" si="7"/>
        <v>0</v>
      </c>
      <c r="AJ25" s="154">
        <f t="shared" si="8"/>
        <v>0</v>
      </c>
      <c r="AK25" s="154">
        <f t="shared" si="9"/>
        <v>0</v>
      </c>
      <c r="AL25" s="151">
        <f t="shared" si="10"/>
        <v>0</v>
      </c>
      <c r="AM25" s="154">
        <f t="shared" si="11"/>
        <v>0</v>
      </c>
      <c r="AN25" s="154">
        <f t="shared" si="11"/>
        <v>0</v>
      </c>
      <c r="AO25" s="154">
        <f t="shared" si="11"/>
        <v>0</v>
      </c>
      <c r="AP25" s="154">
        <f t="shared" si="11"/>
        <v>0</v>
      </c>
      <c r="AQ25" s="151">
        <f t="shared" si="12"/>
        <v>0</v>
      </c>
    </row>
    <row r="26" spans="9:43" ht="16.5" thickBot="1">
      <c r="I26" s="8"/>
      <c r="AC26" s="6">
        <f aca="true" t="shared" si="19" ref="AC26:AQ26">SUM(AC11:AC25)</f>
        <v>5549.893076923077</v>
      </c>
      <c r="AD26" s="6">
        <f t="shared" si="19"/>
        <v>144</v>
      </c>
      <c r="AE26" s="6">
        <f t="shared" si="19"/>
        <v>320</v>
      </c>
      <c r="AF26" s="6">
        <f t="shared" si="19"/>
        <v>1881.7804384615388</v>
      </c>
      <c r="AG26" s="152">
        <f t="shared" si="19"/>
        <v>8160.490000000001</v>
      </c>
      <c r="AH26" s="6">
        <f t="shared" si="19"/>
        <v>24481.47</v>
      </c>
      <c r="AI26" s="6">
        <f t="shared" si="19"/>
        <v>24481.47</v>
      </c>
      <c r="AJ26" s="6">
        <f t="shared" si="19"/>
        <v>24481.47</v>
      </c>
      <c r="AK26" s="6">
        <f t="shared" si="19"/>
        <v>24481.47</v>
      </c>
      <c r="AL26" s="152">
        <f t="shared" si="19"/>
        <v>97925.88</v>
      </c>
      <c r="AM26" s="6">
        <f t="shared" si="19"/>
        <v>7603.5</v>
      </c>
      <c r="AN26" s="6">
        <f t="shared" si="19"/>
        <v>7603.5</v>
      </c>
      <c r="AO26" s="6">
        <f t="shared" si="19"/>
        <v>7603.5</v>
      </c>
      <c r="AP26" s="6">
        <f t="shared" si="19"/>
        <v>7603.5</v>
      </c>
      <c r="AQ26" s="152">
        <f t="shared" si="19"/>
        <v>30414</v>
      </c>
    </row>
    <row r="27" spans="8:35" ht="16.5" thickBot="1">
      <c r="H27" s="386" t="s">
        <v>324</v>
      </c>
      <c r="I27" s="387"/>
      <c r="J27" s="292">
        <f>'SF 424A Budget'!D26</f>
        <v>68692.12</v>
      </c>
      <c r="K27" s="289"/>
      <c r="L27" s="290"/>
      <c r="M27" s="291"/>
      <c r="AI27" s="5"/>
    </row>
    <row r="28" spans="8:14" ht="16.5" thickBot="1">
      <c r="H28" s="386" t="s">
        <v>326</v>
      </c>
      <c r="I28" s="387"/>
      <c r="J28" s="293">
        <f>'SF 424A Budget'!F26</f>
        <v>73662.64</v>
      </c>
      <c r="K28" s="289"/>
      <c r="L28" s="289"/>
      <c r="M28" s="289"/>
      <c r="N28" s="5"/>
    </row>
    <row r="29" spans="8:40" ht="16.5" thickBot="1">
      <c r="H29" s="386" t="s">
        <v>322</v>
      </c>
      <c r="I29" s="387"/>
      <c r="J29" s="292">
        <f>'SF 424A Budget'!G26</f>
        <v>9991.92</v>
      </c>
      <c r="K29" s="296">
        <f>J29/SUM(J27:J28)</f>
        <v>0.07019027674241451</v>
      </c>
      <c r="L29" s="289" t="s">
        <v>350</v>
      </c>
      <c r="AH29" s="67"/>
      <c r="AI29" s="199" t="s">
        <v>88</v>
      </c>
      <c r="AJ29" s="68" t="s">
        <v>35</v>
      </c>
      <c r="AK29" s="68" t="s">
        <v>36</v>
      </c>
      <c r="AL29" s="68" t="s">
        <v>37</v>
      </c>
      <c r="AM29" s="68" t="s">
        <v>38</v>
      </c>
      <c r="AN29" s="69" t="s">
        <v>174</v>
      </c>
    </row>
    <row r="30" spans="8:40" ht="16.5" thickBot="1">
      <c r="H30" s="386" t="s">
        <v>336</v>
      </c>
      <c r="I30" s="387"/>
      <c r="J30" s="292">
        <f>'SF 424A Budget'!H26</f>
        <v>31</v>
      </c>
      <c r="K30" s="289"/>
      <c r="L30" s="289"/>
      <c r="M30" s="289"/>
      <c r="AH30" s="70" t="s">
        <v>172</v>
      </c>
      <c r="AI30" s="132">
        <f>AL49</f>
        <v>34876.8</v>
      </c>
      <c r="AJ30" s="132">
        <f>AH49</f>
        <v>8719.2</v>
      </c>
      <c r="AK30" s="132">
        <f>AI49</f>
        <v>8719.2</v>
      </c>
      <c r="AL30" s="132">
        <f>AJ49</f>
        <v>8719.2</v>
      </c>
      <c r="AM30" s="132">
        <f>AK49</f>
        <v>8719.2</v>
      </c>
      <c r="AN30" s="134">
        <f>+AI30-SUM(AJ30:AM30)</f>
        <v>0</v>
      </c>
    </row>
    <row r="31" spans="34:40" ht="15.75">
      <c r="AH31" s="70" t="s">
        <v>173</v>
      </c>
      <c r="AI31" s="132">
        <f>AQ49</f>
        <v>13950.72</v>
      </c>
      <c r="AJ31" s="132">
        <f>AM49</f>
        <v>3487.68</v>
      </c>
      <c r="AK31" s="132">
        <f>AN49</f>
        <v>3487.68</v>
      </c>
      <c r="AL31" s="132">
        <f>AO49</f>
        <v>3487.68</v>
      </c>
      <c r="AM31" s="132">
        <f>AP49</f>
        <v>3487.68</v>
      </c>
      <c r="AN31" s="134">
        <f>+AI31-SUM(AJ31:AM31)</f>
        <v>0</v>
      </c>
    </row>
    <row r="32" spans="34:40" ht="16.5" thickBot="1">
      <c r="AH32" s="71" t="s">
        <v>175</v>
      </c>
      <c r="AI32" s="137">
        <f>+AI30+AI31</f>
        <v>48827.520000000004</v>
      </c>
      <c r="AJ32" s="137">
        <f>+AJ30+AJ31</f>
        <v>12206.880000000001</v>
      </c>
      <c r="AK32" s="137">
        <f>+AK30+AK31</f>
        <v>12206.880000000001</v>
      </c>
      <c r="AL32" s="137">
        <f>+AL30+AL31</f>
        <v>12206.880000000001</v>
      </c>
      <c r="AM32" s="137">
        <f>+AM30+AM31</f>
        <v>12206.880000000001</v>
      </c>
      <c r="AN32" s="135">
        <f>+AI32-SUM(AJ32:AM32)</f>
        <v>0</v>
      </c>
    </row>
    <row r="33" spans="33:43" ht="47.25">
      <c r="AG33" s="150" t="s">
        <v>13</v>
      </c>
      <c r="AH33" s="1" t="s">
        <v>46</v>
      </c>
      <c r="AI33" s="1" t="s">
        <v>47</v>
      </c>
      <c r="AJ33" s="1" t="s">
        <v>48</v>
      </c>
      <c r="AK33" s="1" t="s">
        <v>49</v>
      </c>
      <c r="AL33" s="150" t="s">
        <v>50</v>
      </c>
      <c r="AM33" s="1" t="s">
        <v>41</v>
      </c>
      <c r="AN33" s="1" t="s">
        <v>42</v>
      </c>
      <c r="AO33" s="1" t="s">
        <v>43</v>
      </c>
      <c r="AP33" s="1" t="s">
        <v>44</v>
      </c>
      <c r="AQ33" s="150" t="s">
        <v>45</v>
      </c>
    </row>
    <row r="34" spans="33:43" ht="15.75">
      <c r="AG34" s="153">
        <f>AG11*K11</f>
        <v>2906.4</v>
      </c>
      <c r="AH34" s="154">
        <f>ROUND(COUNTA(O11:Q11)*AG34*I11,2)</f>
        <v>8719.2</v>
      </c>
      <c r="AI34" s="154">
        <f>ROUND(COUNTA(R11:T11)*AG34*I11,2)</f>
        <v>8719.2</v>
      </c>
      <c r="AJ34" s="154">
        <f>ROUND(COUNTA(U11:W11)*AG34*I11,2)</f>
        <v>8719.2</v>
      </c>
      <c r="AK34" s="154">
        <f>ROUND(COUNTA(X11:Z11)*AG34*I11,2)</f>
        <v>8719.2</v>
      </c>
      <c r="AL34" s="151">
        <f>SUM(AH34:AK34)</f>
        <v>34876.8</v>
      </c>
      <c r="AM34" s="154">
        <f aca="true" t="shared" si="20" ref="AM34:AM48">ROUND(IF($E11="Full-time",AH34*$D$3,AH34*$D$4),2)</f>
        <v>3487.68</v>
      </c>
      <c r="AN34" s="154">
        <f aca="true" t="shared" si="21" ref="AN34:AN48">ROUND(IF($E11="Full-time",AI34*$D$3,AI34*$D$4),2)</f>
        <v>3487.68</v>
      </c>
      <c r="AO34" s="154">
        <f aca="true" t="shared" si="22" ref="AO34:AO48">ROUND(IF($E11="Full-time",AJ34*$D$3,AJ34*$D$4),2)</f>
        <v>3487.68</v>
      </c>
      <c r="AP34" s="154">
        <f aca="true" t="shared" si="23" ref="AP34:AP48">ROUND(IF($E11="Full-time",AK34*$D$3,AK34*$D$4),2)</f>
        <v>3487.68</v>
      </c>
      <c r="AQ34" s="151">
        <f>SUM(AM34:AP34)</f>
        <v>13950.72</v>
      </c>
    </row>
    <row r="35" spans="33:43" ht="15.75">
      <c r="AG35" s="153">
        <f aca="true" t="shared" si="24" ref="AG35:AG48">AG12*K12</f>
        <v>0</v>
      </c>
      <c r="AH35" s="154">
        <f aca="true" t="shared" si="25" ref="AH35:AH48">ROUND(COUNTA(O12:Q12)*AG35*I12,2)</f>
        <v>0</v>
      </c>
      <c r="AI35" s="154">
        <f aca="true" t="shared" si="26" ref="AI35:AI48">ROUND(COUNTA(R12:T12)*AG35*I12,2)</f>
        <v>0</v>
      </c>
      <c r="AJ35" s="154">
        <f aca="true" t="shared" si="27" ref="AJ35:AJ48">ROUND(COUNTA(U12:W12)*AG35*I12,2)</f>
        <v>0</v>
      </c>
      <c r="AK35" s="154">
        <f aca="true" t="shared" si="28" ref="AK35:AK48">ROUND(COUNTA(X12:Z12)*AG35*I12,2)</f>
        <v>0</v>
      </c>
      <c r="AL35" s="151">
        <f aca="true" t="shared" si="29" ref="AL35:AL48">SUM(AH35:AK35)</f>
        <v>0</v>
      </c>
      <c r="AM35" s="154">
        <f t="shared" si="20"/>
        <v>0</v>
      </c>
      <c r="AN35" s="154">
        <f t="shared" si="21"/>
        <v>0</v>
      </c>
      <c r="AO35" s="154">
        <f t="shared" si="22"/>
        <v>0</v>
      </c>
      <c r="AP35" s="154">
        <f t="shared" si="23"/>
        <v>0</v>
      </c>
      <c r="AQ35" s="151">
        <f aca="true" t="shared" si="30" ref="AQ35:AQ48">SUM(AM35:AP35)</f>
        <v>0</v>
      </c>
    </row>
    <row r="36" spans="33:43" ht="15.75">
      <c r="AG36" s="153">
        <f t="shared" si="24"/>
        <v>0</v>
      </c>
      <c r="AH36" s="154">
        <f t="shared" si="25"/>
        <v>0</v>
      </c>
      <c r="AI36" s="154">
        <f t="shared" si="26"/>
        <v>0</v>
      </c>
      <c r="AJ36" s="154">
        <f t="shared" si="27"/>
        <v>0</v>
      </c>
      <c r="AK36" s="154">
        <f t="shared" si="28"/>
        <v>0</v>
      </c>
      <c r="AL36" s="151">
        <f t="shared" si="29"/>
        <v>0</v>
      </c>
      <c r="AM36" s="154">
        <f t="shared" si="20"/>
        <v>0</v>
      </c>
      <c r="AN36" s="154">
        <f t="shared" si="21"/>
        <v>0</v>
      </c>
      <c r="AO36" s="154">
        <f t="shared" si="22"/>
        <v>0</v>
      </c>
      <c r="AP36" s="154">
        <f t="shared" si="23"/>
        <v>0</v>
      </c>
      <c r="AQ36" s="151">
        <f t="shared" si="30"/>
        <v>0</v>
      </c>
    </row>
    <row r="37" spans="33:43" ht="15.75">
      <c r="AG37" s="153">
        <f t="shared" si="24"/>
        <v>0</v>
      </c>
      <c r="AH37" s="154">
        <f t="shared" si="25"/>
        <v>0</v>
      </c>
      <c r="AI37" s="154">
        <f t="shared" si="26"/>
        <v>0</v>
      </c>
      <c r="AJ37" s="154">
        <f t="shared" si="27"/>
        <v>0</v>
      </c>
      <c r="AK37" s="154">
        <f t="shared" si="28"/>
        <v>0</v>
      </c>
      <c r="AL37" s="151">
        <f t="shared" si="29"/>
        <v>0</v>
      </c>
      <c r="AM37" s="154">
        <f t="shared" si="20"/>
        <v>0</v>
      </c>
      <c r="AN37" s="154">
        <f t="shared" si="21"/>
        <v>0</v>
      </c>
      <c r="AO37" s="154">
        <f t="shared" si="22"/>
        <v>0</v>
      </c>
      <c r="AP37" s="154">
        <f t="shared" si="23"/>
        <v>0</v>
      </c>
      <c r="AQ37" s="151">
        <f t="shared" si="30"/>
        <v>0</v>
      </c>
    </row>
    <row r="38" spans="33:43" ht="15.75">
      <c r="AG38" s="153">
        <f t="shared" si="24"/>
        <v>0</v>
      </c>
      <c r="AH38" s="154">
        <f t="shared" si="25"/>
        <v>0</v>
      </c>
      <c r="AI38" s="154">
        <f t="shared" si="26"/>
        <v>0</v>
      </c>
      <c r="AJ38" s="154">
        <f t="shared" si="27"/>
        <v>0</v>
      </c>
      <c r="AK38" s="154">
        <f t="shared" si="28"/>
        <v>0</v>
      </c>
      <c r="AL38" s="151">
        <f t="shared" si="29"/>
        <v>0</v>
      </c>
      <c r="AM38" s="154">
        <f t="shared" si="20"/>
        <v>0</v>
      </c>
      <c r="AN38" s="154">
        <f t="shared" si="21"/>
        <v>0</v>
      </c>
      <c r="AO38" s="154">
        <f t="shared" si="22"/>
        <v>0</v>
      </c>
      <c r="AP38" s="154">
        <f t="shared" si="23"/>
        <v>0</v>
      </c>
      <c r="AQ38" s="151">
        <f t="shared" si="30"/>
        <v>0</v>
      </c>
    </row>
    <row r="39" spans="33:43" ht="15.75">
      <c r="AG39" s="153">
        <f t="shared" si="24"/>
        <v>0</v>
      </c>
      <c r="AH39" s="154">
        <f t="shared" si="25"/>
        <v>0</v>
      </c>
      <c r="AI39" s="154">
        <f t="shared" si="26"/>
        <v>0</v>
      </c>
      <c r="AJ39" s="154">
        <f t="shared" si="27"/>
        <v>0</v>
      </c>
      <c r="AK39" s="154">
        <f t="shared" si="28"/>
        <v>0</v>
      </c>
      <c r="AL39" s="151">
        <f t="shared" si="29"/>
        <v>0</v>
      </c>
      <c r="AM39" s="154">
        <f t="shared" si="20"/>
        <v>0</v>
      </c>
      <c r="AN39" s="154">
        <f t="shared" si="21"/>
        <v>0</v>
      </c>
      <c r="AO39" s="154">
        <f t="shared" si="22"/>
        <v>0</v>
      </c>
      <c r="AP39" s="154">
        <f t="shared" si="23"/>
        <v>0</v>
      </c>
      <c r="AQ39" s="151">
        <f t="shared" si="30"/>
        <v>0</v>
      </c>
    </row>
    <row r="40" spans="33:43" ht="15.75">
      <c r="AG40" s="153">
        <f t="shared" si="24"/>
        <v>0</v>
      </c>
      <c r="AH40" s="154">
        <f t="shared" si="25"/>
        <v>0</v>
      </c>
      <c r="AI40" s="154">
        <f t="shared" si="26"/>
        <v>0</v>
      </c>
      <c r="AJ40" s="154">
        <f t="shared" si="27"/>
        <v>0</v>
      </c>
      <c r="AK40" s="154">
        <f t="shared" si="28"/>
        <v>0</v>
      </c>
      <c r="AL40" s="151">
        <f t="shared" si="29"/>
        <v>0</v>
      </c>
      <c r="AM40" s="154">
        <f t="shared" si="20"/>
        <v>0</v>
      </c>
      <c r="AN40" s="154">
        <f t="shared" si="21"/>
        <v>0</v>
      </c>
      <c r="AO40" s="154">
        <f t="shared" si="22"/>
        <v>0</v>
      </c>
      <c r="AP40" s="154">
        <f t="shared" si="23"/>
        <v>0</v>
      </c>
      <c r="AQ40" s="151">
        <f t="shared" si="30"/>
        <v>0</v>
      </c>
    </row>
    <row r="41" spans="33:43" ht="15.75">
      <c r="AG41" s="153">
        <f t="shared" si="24"/>
        <v>0</v>
      </c>
      <c r="AH41" s="154">
        <f t="shared" si="25"/>
        <v>0</v>
      </c>
      <c r="AI41" s="154">
        <f t="shared" si="26"/>
        <v>0</v>
      </c>
      <c r="AJ41" s="154">
        <f t="shared" si="27"/>
        <v>0</v>
      </c>
      <c r="AK41" s="154">
        <f t="shared" si="28"/>
        <v>0</v>
      </c>
      <c r="AL41" s="151">
        <f t="shared" si="29"/>
        <v>0</v>
      </c>
      <c r="AM41" s="154">
        <f t="shared" si="20"/>
        <v>0</v>
      </c>
      <c r="AN41" s="154">
        <f t="shared" si="21"/>
        <v>0</v>
      </c>
      <c r="AO41" s="154">
        <f t="shared" si="22"/>
        <v>0</v>
      </c>
      <c r="AP41" s="154">
        <f t="shared" si="23"/>
        <v>0</v>
      </c>
      <c r="AQ41" s="151">
        <f t="shared" si="30"/>
        <v>0</v>
      </c>
    </row>
    <row r="42" spans="33:43" ht="15.75">
      <c r="AG42" s="153">
        <f t="shared" si="24"/>
        <v>0</v>
      </c>
      <c r="AH42" s="154">
        <f t="shared" si="25"/>
        <v>0</v>
      </c>
      <c r="AI42" s="154">
        <f t="shared" si="26"/>
        <v>0</v>
      </c>
      <c r="AJ42" s="154">
        <f t="shared" si="27"/>
        <v>0</v>
      </c>
      <c r="AK42" s="154">
        <f t="shared" si="28"/>
        <v>0</v>
      </c>
      <c r="AL42" s="151">
        <f t="shared" si="29"/>
        <v>0</v>
      </c>
      <c r="AM42" s="154">
        <f t="shared" si="20"/>
        <v>0</v>
      </c>
      <c r="AN42" s="154">
        <f t="shared" si="21"/>
        <v>0</v>
      </c>
      <c r="AO42" s="154">
        <f t="shared" si="22"/>
        <v>0</v>
      </c>
      <c r="AP42" s="154">
        <f t="shared" si="23"/>
        <v>0</v>
      </c>
      <c r="AQ42" s="151">
        <f t="shared" si="30"/>
        <v>0</v>
      </c>
    </row>
    <row r="43" spans="33:43" ht="15.75">
      <c r="AG43" s="153">
        <f t="shared" si="24"/>
        <v>0</v>
      </c>
      <c r="AH43" s="154">
        <f t="shared" si="25"/>
        <v>0</v>
      </c>
      <c r="AI43" s="154">
        <f t="shared" si="26"/>
        <v>0</v>
      </c>
      <c r="AJ43" s="154">
        <f t="shared" si="27"/>
        <v>0</v>
      </c>
      <c r="AK43" s="154">
        <f t="shared" si="28"/>
        <v>0</v>
      </c>
      <c r="AL43" s="151">
        <f t="shared" si="29"/>
        <v>0</v>
      </c>
      <c r="AM43" s="154">
        <f t="shared" si="20"/>
        <v>0</v>
      </c>
      <c r="AN43" s="154">
        <f t="shared" si="21"/>
        <v>0</v>
      </c>
      <c r="AO43" s="154">
        <f t="shared" si="22"/>
        <v>0</v>
      </c>
      <c r="AP43" s="154">
        <f t="shared" si="23"/>
        <v>0</v>
      </c>
      <c r="AQ43" s="151">
        <f t="shared" si="30"/>
        <v>0</v>
      </c>
    </row>
    <row r="44" spans="33:43" ht="15.75">
      <c r="AG44" s="153">
        <f t="shared" si="24"/>
        <v>0</v>
      </c>
      <c r="AH44" s="154">
        <f t="shared" si="25"/>
        <v>0</v>
      </c>
      <c r="AI44" s="154">
        <f t="shared" si="26"/>
        <v>0</v>
      </c>
      <c r="AJ44" s="154">
        <f t="shared" si="27"/>
        <v>0</v>
      </c>
      <c r="AK44" s="154">
        <f t="shared" si="28"/>
        <v>0</v>
      </c>
      <c r="AL44" s="151">
        <f t="shared" si="29"/>
        <v>0</v>
      </c>
      <c r="AM44" s="154">
        <f t="shared" si="20"/>
        <v>0</v>
      </c>
      <c r="AN44" s="154">
        <f t="shared" si="21"/>
        <v>0</v>
      </c>
      <c r="AO44" s="154">
        <f t="shared" si="22"/>
        <v>0</v>
      </c>
      <c r="AP44" s="154">
        <f t="shared" si="23"/>
        <v>0</v>
      </c>
      <c r="AQ44" s="151">
        <f t="shared" si="30"/>
        <v>0</v>
      </c>
    </row>
    <row r="45" spans="33:43" ht="15.75">
      <c r="AG45" s="153">
        <f t="shared" si="24"/>
        <v>0</v>
      </c>
      <c r="AH45" s="154">
        <f t="shared" si="25"/>
        <v>0</v>
      </c>
      <c r="AI45" s="154">
        <f t="shared" si="26"/>
        <v>0</v>
      </c>
      <c r="AJ45" s="154">
        <f t="shared" si="27"/>
        <v>0</v>
      </c>
      <c r="AK45" s="154">
        <f t="shared" si="28"/>
        <v>0</v>
      </c>
      <c r="AL45" s="151">
        <f t="shared" si="29"/>
        <v>0</v>
      </c>
      <c r="AM45" s="154">
        <f t="shared" si="20"/>
        <v>0</v>
      </c>
      <c r="AN45" s="154">
        <f t="shared" si="21"/>
        <v>0</v>
      </c>
      <c r="AO45" s="154">
        <f t="shared" si="22"/>
        <v>0</v>
      </c>
      <c r="AP45" s="154">
        <f t="shared" si="23"/>
        <v>0</v>
      </c>
      <c r="AQ45" s="151">
        <f t="shared" si="30"/>
        <v>0</v>
      </c>
    </row>
    <row r="46" spans="33:43" ht="15.75">
      <c r="AG46" s="153">
        <f t="shared" si="24"/>
        <v>0</v>
      </c>
      <c r="AH46" s="154">
        <f t="shared" si="25"/>
        <v>0</v>
      </c>
      <c r="AI46" s="154">
        <f t="shared" si="26"/>
        <v>0</v>
      </c>
      <c r="AJ46" s="154">
        <f t="shared" si="27"/>
        <v>0</v>
      </c>
      <c r="AK46" s="154">
        <f t="shared" si="28"/>
        <v>0</v>
      </c>
      <c r="AL46" s="151">
        <f t="shared" si="29"/>
        <v>0</v>
      </c>
      <c r="AM46" s="154">
        <f t="shared" si="20"/>
        <v>0</v>
      </c>
      <c r="AN46" s="154">
        <f t="shared" si="21"/>
        <v>0</v>
      </c>
      <c r="AO46" s="154">
        <f t="shared" si="22"/>
        <v>0</v>
      </c>
      <c r="AP46" s="154">
        <f t="shared" si="23"/>
        <v>0</v>
      </c>
      <c r="AQ46" s="151">
        <f t="shared" si="30"/>
        <v>0</v>
      </c>
    </row>
    <row r="47" spans="33:43" ht="15.75">
      <c r="AG47" s="153">
        <f t="shared" si="24"/>
        <v>0</v>
      </c>
      <c r="AH47" s="154">
        <f t="shared" si="25"/>
        <v>0</v>
      </c>
      <c r="AI47" s="154">
        <f t="shared" si="26"/>
        <v>0</v>
      </c>
      <c r="AJ47" s="154">
        <f t="shared" si="27"/>
        <v>0</v>
      </c>
      <c r="AK47" s="154">
        <f t="shared" si="28"/>
        <v>0</v>
      </c>
      <c r="AL47" s="151">
        <f t="shared" si="29"/>
        <v>0</v>
      </c>
      <c r="AM47" s="154">
        <f t="shared" si="20"/>
        <v>0</v>
      </c>
      <c r="AN47" s="154">
        <f t="shared" si="21"/>
        <v>0</v>
      </c>
      <c r="AO47" s="154">
        <f t="shared" si="22"/>
        <v>0</v>
      </c>
      <c r="AP47" s="154">
        <f t="shared" si="23"/>
        <v>0</v>
      </c>
      <c r="AQ47" s="151">
        <f t="shared" si="30"/>
        <v>0</v>
      </c>
    </row>
    <row r="48" spans="33:43" ht="15.75">
      <c r="AG48" s="153">
        <f t="shared" si="24"/>
        <v>0</v>
      </c>
      <c r="AH48" s="154">
        <f t="shared" si="25"/>
        <v>0</v>
      </c>
      <c r="AI48" s="154">
        <f t="shared" si="26"/>
        <v>0</v>
      </c>
      <c r="AJ48" s="154">
        <f t="shared" si="27"/>
        <v>0</v>
      </c>
      <c r="AK48" s="154">
        <f t="shared" si="28"/>
        <v>0</v>
      </c>
      <c r="AL48" s="151">
        <f t="shared" si="29"/>
        <v>0</v>
      </c>
      <c r="AM48" s="154">
        <f t="shared" si="20"/>
        <v>0</v>
      </c>
      <c r="AN48" s="154">
        <f t="shared" si="21"/>
        <v>0</v>
      </c>
      <c r="AO48" s="154">
        <f t="shared" si="22"/>
        <v>0</v>
      </c>
      <c r="AP48" s="154">
        <f t="shared" si="23"/>
        <v>0</v>
      </c>
      <c r="AQ48" s="151">
        <f t="shared" si="30"/>
        <v>0</v>
      </c>
    </row>
    <row r="49" spans="33:43" ht="16.5" thickBot="1">
      <c r="AG49" s="152">
        <f>SUM(AG34:AG48)</f>
        <v>2906.4</v>
      </c>
      <c r="AH49" s="6">
        <f aca="true" t="shared" si="31" ref="AH49:AQ49">SUM(AH34:AH48)</f>
        <v>8719.2</v>
      </c>
      <c r="AI49" s="6">
        <f t="shared" si="31"/>
        <v>8719.2</v>
      </c>
      <c r="AJ49" s="6">
        <f t="shared" si="31"/>
        <v>8719.2</v>
      </c>
      <c r="AK49" s="6">
        <f t="shared" si="31"/>
        <v>8719.2</v>
      </c>
      <c r="AL49" s="152">
        <f t="shared" si="31"/>
        <v>34876.8</v>
      </c>
      <c r="AM49" s="6">
        <f t="shared" si="31"/>
        <v>3487.68</v>
      </c>
      <c r="AN49" s="6">
        <f t="shared" si="31"/>
        <v>3487.68</v>
      </c>
      <c r="AO49" s="6">
        <f t="shared" si="31"/>
        <v>3487.68</v>
      </c>
      <c r="AP49" s="6">
        <f t="shared" si="31"/>
        <v>3487.68</v>
      </c>
      <c r="AQ49" s="152">
        <f t="shared" si="31"/>
        <v>13950.72</v>
      </c>
    </row>
    <row r="51" ht="16.5" thickBot="1"/>
    <row r="52" spans="34:40" ht="15.75">
      <c r="AH52" s="67"/>
      <c r="AI52" s="199" t="s">
        <v>309</v>
      </c>
      <c r="AJ52" s="68" t="s">
        <v>35</v>
      </c>
      <c r="AK52" s="68" t="s">
        <v>36</v>
      </c>
      <c r="AL52" s="68" t="s">
        <v>37</v>
      </c>
      <c r="AM52" s="68" t="s">
        <v>38</v>
      </c>
      <c r="AN52" s="69" t="s">
        <v>174</v>
      </c>
    </row>
    <row r="53" spans="34:40" ht="15.75">
      <c r="AH53" s="70" t="s">
        <v>172</v>
      </c>
      <c r="AI53" s="132">
        <f>AL72</f>
        <v>57236.28</v>
      </c>
      <c r="AJ53" s="132">
        <f>AH72</f>
        <v>14309.07</v>
      </c>
      <c r="AK53" s="132">
        <f>AI72</f>
        <v>14309.07</v>
      </c>
      <c r="AL53" s="132">
        <f>AJ72</f>
        <v>14309.07</v>
      </c>
      <c r="AM53" s="132">
        <f>AK72</f>
        <v>14309.07</v>
      </c>
      <c r="AN53" s="134">
        <f>+AI53-SUM(AJ53:AM53)</f>
        <v>0</v>
      </c>
    </row>
    <row r="54" spans="34:40" ht="15.75">
      <c r="AH54" s="70" t="s">
        <v>173</v>
      </c>
      <c r="AI54" s="132">
        <f>AQ72</f>
        <v>14138.16</v>
      </c>
      <c r="AJ54" s="132">
        <f>AM72</f>
        <v>3534.54</v>
      </c>
      <c r="AK54" s="132">
        <f>AN72</f>
        <v>3534.54</v>
      </c>
      <c r="AL54" s="132">
        <f>AO72</f>
        <v>3534.54</v>
      </c>
      <c r="AM54" s="132">
        <f>AP72</f>
        <v>3534.54</v>
      </c>
      <c r="AN54" s="134">
        <f>+AI54-SUM(AJ54:AM54)</f>
        <v>0</v>
      </c>
    </row>
    <row r="55" spans="34:40" ht="16.5" thickBot="1">
      <c r="AH55" s="71" t="s">
        <v>175</v>
      </c>
      <c r="AI55" s="137">
        <f>+AI53+AI54</f>
        <v>71374.44</v>
      </c>
      <c r="AJ55" s="137">
        <f>+AJ53+AJ54</f>
        <v>17843.61</v>
      </c>
      <c r="AK55" s="137">
        <f>+AK53+AK54</f>
        <v>17843.61</v>
      </c>
      <c r="AL55" s="137">
        <f>+AL53+AL54</f>
        <v>17843.61</v>
      </c>
      <c r="AM55" s="137">
        <f>+AM53+AM54</f>
        <v>17843.61</v>
      </c>
      <c r="AN55" s="135">
        <f>+AI55-SUM(AJ55:AM55)</f>
        <v>0</v>
      </c>
    </row>
    <row r="56" spans="33:43" ht="47.25">
      <c r="AG56" s="150" t="s">
        <v>13</v>
      </c>
      <c r="AH56" s="1" t="s">
        <v>46</v>
      </c>
      <c r="AI56" s="1" t="s">
        <v>47</v>
      </c>
      <c r="AJ56" s="1" t="s">
        <v>48</v>
      </c>
      <c r="AK56" s="1" t="s">
        <v>49</v>
      </c>
      <c r="AL56" s="150" t="s">
        <v>50</v>
      </c>
      <c r="AM56" s="1" t="s">
        <v>41</v>
      </c>
      <c r="AN56" s="1" t="s">
        <v>42</v>
      </c>
      <c r="AO56" s="1" t="s">
        <v>43</v>
      </c>
      <c r="AP56" s="1" t="s">
        <v>44</v>
      </c>
      <c r="AQ56" s="150" t="s">
        <v>45</v>
      </c>
    </row>
    <row r="57" spans="33:43" ht="15.75">
      <c r="AG57" s="153">
        <f>AG11*L11</f>
        <v>1453.2</v>
      </c>
      <c r="AH57" s="154">
        <f>ROUND(COUNTA(O11:Q11)*AG57*I11,2)</f>
        <v>4359.6</v>
      </c>
      <c r="AI57" s="154">
        <f>ROUND(COUNTA(R11:T11)*AG57*I11,2)</f>
        <v>4359.6</v>
      </c>
      <c r="AJ57" s="154">
        <f>ROUND(COUNTA(U11:W11)*AG57*I11,2)</f>
        <v>4359.6</v>
      </c>
      <c r="AK57" s="154">
        <f>ROUND(COUNTA(X11:Z11)*AG57*I11,2)</f>
        <v>4359.6</v>
      </c>
      <c r="AL57" s="151">
        <f>SUM(AH57:AK57)</f>
        <v>17438.4</v>
      </c>
      <c r="AM57" s="154">
        <f aca="true" t="shared" si="32" ref="AM57:AM71">ROUND(IF($E11="Full-time",AH57*$D$3,AH57*$D$4),2)</f>
        <v>1743.84</v>
      </c>
      <c r="AN57" s="154">
        <f aca="true" t="shared" si="33" ref="AN57:AN71">ROUND(IF($E11="Full-time",AI57*$D$3,AI57*$D$4),2)</f>
        <v>1743.84</v>
      </c>
      <c r="AO57" s="154">
        <f aca="true" t="shared" si="34" ref="AO57:AO71">ROUND(IF($E11="Full-time",AJ57*$D$3,AJ57*$D$4),2)</f>
        <v>1743.84</v>
      </c>
      <c r="AP57" s="154">
        <f aca="true" t="shared" si="35" ref="AP57:AP71">ROUND(IF($E11="Full-time",AK57*$D$3,AK57*$D$4),2)</f>
        <v>1743.84</v>
      </c>
      <c r="AQ57" s="151">
        <f>SUM(AM57:AP57)</f>
        <v>6975.36</v>
      </c>
    </row>
    <row r="58" spans="33:43" ht="15.75">
      <c r="AG58" s="153">
        <f aca="true" t="shared" si="36" ref="AG58:AG71">AG12*L12</f>
        <v>1000</v>
      </c>
      <c r="AH58" s="154">
        <f aca="true" t="shared" si="37" ref="AH58:AH71">ROUND(COUNTA(O12:Q12)*AG58*I12,2)</f>
        <v>3000</v>
      </c>
      <c r="AI58" s="154">
        <f aca="true" t="shared" si="38" ref="AI58:AI71">ROUND(COUNTA(R12:T12)*AG58*I12,2)</f>
        <v>3000</v>
      </c>
      <c r="AJ58" s="154">
        <f aca="true" t="shared" si="39" ref="AJ58:AJ71">ROUND(COUNTA(U12:W12)*AG58*I12,2)</f>
        <v>3000</v>
      </c>
      <c r="AK58" s="154">
        <f aca="true" t="shared" si="40" ref="AK58:AK71">ROUND(COUNTA(X12:Z12)*AG58*I12,2)</f>
        <v>3000</v>
      </c>
      <c r="AL58" s="151">
        <f aca="true" t="shared" si="41" ref="AL58:AL71">SUM(AH58:AK58)</f>
        <v>12000</v>
      </c>
      <c r="AM58" s="154">
        <f t="shared" si="32"/>
        <v>1200</v>
      </c>
      <c r="AN58" s="154">
        <f t="shared" si="33"/>
        <v>1200</v>
      </c>
      <c r="AO58" s="154">
        <f t="shared" si="34"/>
        <v>1200</v>
      </c>
      <c r="AP58" s="154">
        <f t="shared" si="35"/>
        <v>1200</v>
      </c>
      <c r="AQ58" s="151">
        <f aca="true" t="shared" si="42" ref="AQ58:AQ71">SUM(AM58:AP58)</f>
        <v>4800</v>
      </c>
    </row>
    <row r="59" spans="33:43" ht="15.75">
      <c r="AG59" s="153">
        <f t="shared" si="36"/>
        <v>666.62</v>
      </c>
      <c r="AH59" s="154">
        <f t="shared" si="37"/>
        <v>1999.86</v>
      </c>
      <c r="AI59" s="154">
        <f t="shared" si="38"/>
        <v>1999.86</v>
      </c>
      <c r="AJ59" s="154">
        <f t="shared" si="39"/>
        <v>1999.86</v>
      </c>
      <c r="AK59" s="154">
        <f t="shared" si="40"/>
        <v>1999.86</v>
      </c>
      <c r="AL59" s="151">
        <f t="shared" si="41"/>
        <v>7999.44</v>
      </c>
      <c r="AM59" s="154">
        <f t="shared" si="32"/>
        <v>169.99</v>
      </c>
      <c r="AN59" s="154">
        <f t="shared" si="33"/>
        <v>169.99</v>
      </c>
      <c r="AO59" s="154">
        <f t="shared" si="34"/>
        <v>169.99</v>
      </c>
      <c r="AP59" s="154">
        <f t="shared" si="35"/>
        <v>169.99</v>
      </c>
      <c r="AQ59" s="151">
        <f t="shared" si="42"/>
        <v>679.96</v>
      </c>
    </row>
    <row r="60" spans="33:43" ht="15.75">
      <c r="AG60" s="153">
        <f t="shared" si="36"/>
        <v>1249.9</v>
      </c>
      <c r="AH60" s="154">
        <f t="shared" si="37"/>
        <v>3749.7</v>
      </c>
      <c r="AI60" s="154">
        <f t="shared" si="38"/>
        <v>3749.7</v>
      </c>
      <c r="AJ60" s="154">
        <f t="shared" si="39"/>
        <v>3749.7</v>
      </c>
      <c r="AK60" s="154">
        <f t="shared" si="40"/>
        <v>3749.7</v>
      </c>
      <c r="AL60" s="151">
        <f t="shared" si="41"/>
        <v>14998.8</v>
      </c>
      <c r="AM60" s="154">
        <f t="shared" si="32"/>
        <v>318.72</v>
      </c>
      <c r="AN60" s="154">
        <f t="shared" si="33"/>
        <v>318.72</v>
      </c>
      <c r="AO60" s="154">
        <f t="shared" si="34"/>
        <v>318.72</v>
      </c>
      <c r="AP60" s="154">
        <f t="shared" si="35"/>
        <v>318.72</v>
      </c>
      <c r="AQ60" s="151">
        <f t="shared" si="42"/>
        <v>1274.88</v>
      </c>
    </row>
    <row r="61" spans="33:43" ht="15.75">
      <c r="AG61" s="153">
        <f t="shared" si="36"/>
        <v>399.97</v>
      </c>
      <c r="AH61" s="154">
        <f t="shared" si="37"/>
        <v>1199.91</v>
      </c>
      <c r="AI61" s="154">
        <f t="shared" si="38"/>
        <v>1199.91</v>
      </c>
      <c r="AJ61" s="154">
        <f t="shared" si="39"/>
        <v>1199.91</v>
      </c>
      <c r="AK61" s="154">
        <f t="shared" si="40"/>
        <v>1199.91</v>
      </c>
      <c r="AL61" s="151">
        <f t="shared" si="41"/>
        <v>4799.64</v>
      </c>
      <c r="AM61" s="154">
        <f t="shared" si="32"/>
        <v>101.99</v>
      </c>
      <c r="AN61" s="154">
        <f t="shared" si="33"/>
        <v>101.99</v>
      </c>
      <c r="AO61" s="154">
        <f t="shared" si="34"/>
        <v>101.99</v>
      </c>
      <c r="AP61" s="154">
        <f t="shared" si="35"/>
        <v>101.99</v>
      </c>
      <c r="AQ61" s="151">
        <f t="shared" si="42"/>
        <v>407.96</v>
      </c>
    </row>
    <row r="62" spans="33:43" ht="15.75">
      <c r="AG62" s="153">
        <f t="shared" si="36"/>
        <v>0</v>
      </c>
      <c r="AH62" s="154">
        <f t="shared" si="37"/>
        <v>0</v>
      </c>
      <c r="AI62" s="154">
        <f t="shared" si="38"/>
        <v>0</v>
      </c>
      <c r="AJ62" s="154">
        <f t="shared" si="39"/>
        <v>0</v>
      </c>
      <c r="AK62" s="154">
        <f t="shared" si="40"/>
        <v>0</v>
      </c>
      <c r="AL62" s="151">
        <f t="shared" si="41"/>
        <v>0</v>
      </c>
      <c r="AM62" s="154">
        <f t="shared" si="32"/>
        <v>0</v>
      </c>
      <c r="AN62" s="154">
        <f t="shared" si="33"/>
        <v>0</v>
      </c>
      <c r="AO62" s="154">
        <f t="shared" si="34"/>
        <v>0</v>
      </c>
      <c r="AP62" s="154">
        <f t="shared" si="35"/>
        <v>0</v>
      </c>
      <c r="AQ62" s="151">
        <f t="shared" si="42"/>
        <v>0</v>
      </c>
    </row>
    <row r="63" spans="33:43" ht="15.75">
      <c r="AG63" s="153">
        <f t="shared" si="36"/>
        <v>0</v>
      </c>
      <c r="AH63" s="154">
        <f t="shared" si="37"/>
        <v>0</v>
      </c>
      <c r="AI63" s="154">
        <f t="shared" si="38"/>
        <v>0</v>
      </c>
      <c r="AJ63" s="154">
        <f t="shared" si="39"/>
        <v>0</v>
      </c>
      <c r="AK63" s="154">
        <f t="shared" si="40"/>
        <v>0</v>
      </c>
      <c r="AL63" s="151">
        <f t="shared" si="41"/>
        <v>0</v>
      </c>
      <c r="AM63" s="154">
        <f t="shared" si="32"/>
        <v>0</v>
      </c>
      <c r="AN63" s="154">
        <f t="shared" si="33"/>
        <v>0</v>
      </c>
      <c r="AO63" s="154">
        <f t="shared" si="34"/>
        <v>0</v>
      </c>
      <c r="AP63" s="154">
        <f t="shared" si="35"/>
        <v>0</v>
      </c>
      <c r="AQ63" s="151">
        <f t="shared" si="42"/>
        <v>0</v>
      </c>
    </row>
    <row r="64" spans="33:43" ht="15.75">
      <c r="AG64" s="153">
        <f t="shared" si="36"/>
        <v>0</v>
      </c>
      <c r="AH64" s="154">
        <f t="shared" si="37"/>
        <v>0</v>
      </c>
      <c r="AI64" s="154">
        <f t="shared" si="38"/>
        <v>0</v>
      </c>
      <c r="AJ64" s="154">
        <f t="shared" si="39"/>
        <v>0</v>
      </c>
      <c r="AK64" s="154">
        <f t="shared" si="40"/>
        <v>0</v>
      </c>
      <c r="AL64" s="151">
        <f t="shared" si="41"/>
        <v>0</v>
      </c>
      <c r="AM64" s="154">
        <f t="shared" si="32"/>
        <v>0</v>
      </c>
      <c r="AN64" s="154">
        <f t="shared" si="33"/>
        <v>0</v>
      </c>
      <c r="AO64" s="154">
        <f t="shared" si="34"/>
        <v>0</v>
      </c>
      <c r="AP64" s="154">
        <f t="shared" si="35"/>
        <v>0</v>
      </c>
      <c r="AQ64" s="151">
        <f t="shared" si="42"/>
        <v>0</v>
      </c>
    </row>
    <row r="65" spans="33:43" ht="15.75">
      <c r="AG65" s="153">
        <f t="shared" si="36"/>
        <v>0</v>
      </c>
      <c r="AH65" s="154">
        <f t="shared" si="37"/>
        <v>0</v>
      </c>
      <c r="AI65" s="154">
        <f t="shared" si="38"/>
        <v>0</v>
      </c>
      <c r="AJ65" s="154">
        <f t="shared" si="39"/>
        <v>0</v>
      </c>
      <c r="AK65" s="154">
        <f t="shared" si="40"/>
        <v>0</v>
      </c>
      <c r="AL65" s="151">
        <f t="shared" si="41"/>
        <v>0</v>
      </c>
      <c r="AM65" s="154">
        <f t="shared" si="32"/>
        <v>0</v>
      </c>
      <c r="AN65" s="154">
        <f t="shared" si="33"/>
        <v>0</v>
      </c>
      <c r="AO65" s="154">
        <f t="shared" si="34"/>
        <v>0</v>
      </c>
      <c r="AP65" s="154">
        <f t="shared" si="35"/>
        <v>0</v>
      </c>
      <c r="AQ65" s="151">
        <f t="shared" si="42"/>
        <v>0</v>
      </c>
    </row>
    <row r="66" spans="33:43" ht="15.75">
      <c r="AG66" s="153">
        <f t="shared" si="36"/>
        <v>0</v>
      </c>
      <c r="AH66" s="154">
        <f t="shared" si="37"/>
        <v>0</v>
      </c>
      <c r="AI66" s="154">
        <f t="shared" si="38"/>
        <v>0</v>
      </c>
      <c r="AJ66" s="154">
        <f t="shared" si="39"/>
        <v>0</v>
      </c>
      <c r="AK66" s="154">
        <f t="shared" si="40"/>
        <v>0</v>
      </c>
      <c r="AL66" s="151">
        <f t="shared" si="41"/>
        <v>0</v>
      </c>
      <c r="AM66" s="154">
        <f t="shared" si="32"/>
        <v>0</v>
      </c>
      <c r="AN66" s="154">
        <f t="shared" si="33"/>
        <v>0</v>
      </c>
      <c r="AO66" s="154">
        <f t="shared" si="34"/>
        <v>0</v>
      </c>
      <c r="AP66" s="154">
        <f t="shared" si="35"/>
        <v>0</v>
      </c>
      <c r="AQ66" s="151">
        <f t="shared" si="42"/>
        <v>0</v>
      </c>
    </row>
    <row r="67" spans="33:43" ht="15.75">
      <c r="AG67" s="153">
        <f t="shared" si="36"/>
        <v>0</v>
      </c>
      <c r="AH67" s="154">
        <f t="shared" si="37"/>
        <v>0</v>
      </c>
      <c r="AI67" s="154">
        <f t="shared" si="38"/>
        <v>0</v>
      </c>
      <c r="AJ67" s="154">
        <f t="shared" si="39"/>
        <v>0</v>
      </c>
      <c r="AK67" s="154">
        <f t="shared" si="40"/>
        <v>0</v>
      </c>
      <c r="AL67" s="151">
        <f t="shared" si="41"/>
        <v>0</v>
      </c>
      <c r="AM67" s="154">
        <f t="shared" si="32"/>
        <v>0</v>
      </c>
      <c r="AN67" s="154">
        <f t="shared" si="33"/>
        <v>0</v>
      </c>
      <c r="AO67" s="154">
        <f t="shared" si="34"/>
        <v>0</v>
      </c>
      <c r="AP67" s="154">
        <f t="shared" si="35"/>
        <v>0</v>
      </c>
      <c r="AQ67" s="151">
        <f t="shared" si="42"/>
        <v>0</v>
      </c>
    </row>
    <row r="68" spans="33:43" ht="15.75">
      <c r="AG68" s="153">
        <f t="shared" si="36"/>
        <v>0</v>
      </c>
      <c r="AH68" s="154">
        <f t="shared" si="37"/>
        <v>0</v>
      </c>
      <c r="AI68" s="154">
        <f t="shared" si="38"/>
        <v>0</v>
      </c>
      <c r="AJ68" s="154">
        <f t="shared" si="39"/>
        <v>0</v>
      </c>
      <c r="AK68" s="154">
        <f t="shared" si="40"/>
        <v>0</v>
      </c>
      <c r="AL68" s="151">
        <f t="shared" si="41"/>
        <v>0</v>
      </c>
      <c r="AM68" s="154">
        <f t="shared" si="32"/>
        <v>0</v>
      </c>
      <c r="AN68" s="154">
        <f t="shared" si="33"/>
        <v>0</v>
      </c>
      <c r="AO68" s="154">
        <f t="shared" si="34"/>
        <v>0</v>
      </c>
      <c r="AP68" s="154">
        <f t="shared" si="35"/>
        <v>0</v>
      </c>
      <c r="AQ68" s="151">
        <f t="shared" si="42"/>
        <v>0</v>
      </c>
    </row>
    <row r="69" spans="33:43" ht="15.75">
      <c r="AG69" s="153">
        <f t="shared" si="36"/>
        <v>0</v>
      </c>
      <c r="AH69" s="154">
        <f t="shared" si="37"/>
        <v>0</v>
      </c>
      <c r="AI69" s="154">
        <f t="shared" si="38"/>
        <v>0</v>
      </c>
      <c r="AJ69" s="154">
        <f t="shared" si="39"/>
        <v>0</v>
      </c>
      <c r="AK69" s="154">
        <f t="shared" si="40"/>
        <v>0</v>
      </c>
      <c r="AL69" s="151">
        <f t="shared" si="41"/>
        <v>0</v>
      </c>
      <c r="AM69" s="154">
        <f t="shared" si="32"/>
        <v>0</v>
      </c>
      <c r="AN69" s="154">
        <f t="shared" si="33"/>
        <v>0</v>
      </c>
      <c r="AO69" s="154">
        <f t="shared" si="34"/>
        <v>0</v>
      </c>
      <c r="AP69" s="154">
        <f t="shared" si="35"/>
        <v>0</v>
      </c>
      <c r="AQ69" s="151">
        <f t="shared" si="42"/>
        <v>0</v>
      </c>
    </row>
    <row r="70" spans="33:43" ht="15.75">
      <c r="AG70" s="153">
        <f t="shared" si="36"/>
        <v>0</v>
      </c>
      <c r="AH70" s="154">
        <f t="shared" si="37"/>
        <v>0</v>
      </c>
      <c r="AI70" s="154">
        <f t="shared" si="38"/>
        <v>0</v>
      </c>
      <c r="AJ70" s="154">
        <f t="shared" si="39"/>
        <v>0</v>
      </c>
      <c r="AK70" s="154">
        <f t="shared" si="40"/>
        <v>0</v>
      </c>
      <c r="AL70" s="151">
        <f t="shared" si="41"/>
        <v>0</v>
      </c>
      <c r="AM70" s="154">
        <f t="shared" si="32"/>
        <v>0</v>
      </c>
      <c r="AN70" s="154">
        <f t="shared" si="33"/>
        <v>0</v>
      </c>
      <c r="AO70" s="154">
        <f t="shared" si="34"/>
        <v>0</v>
      </c>
      <c r="AP70" s="154">
        <f t="shared" si="35"/>
        <v>0</v>
      </c>
      <c r="AQ70" s="151">
        <f t="shared" si="42"/>
        <v>0</v>
      </c>
    </row>
    <row r="71" spans="33:43" ht="15.75">
      <c r="AG71" s="153">
        <f t="shared" si="36"/>
        <v>0</v>
      </c>
      <c r="AH71" s="154">
        <f t="shared" si="37"/>
        <v>0</v>
      </c>
      <c r="AI71" s="154">
        <f t="shared" si="38"/>
        <v>0</v>
      </c>
      <c r="AJ71" s="154">
        <f t="shared" si="39"/>
        <v>0</v>
      </c>
      <c r="AK71" s="154">
        <f t="shared" si="40"/>
        <v>0</v>
      </c>
      <c r="AL71" s="151">
        <f t="shared" si="41"/>
        <v>0</v>
      </c>
      <c r="AM71" s="154">
        <f t="shared" si="32"/>
        <v>0</v>
      </c>
      <c r="AN71" s="154">
        <f t="shared" si="33"/>
        <v>0</v>
      </c>
      <c r="AO71" s="154">
        <f t="shared" si="34"/>
        <v>0</v>
      </c>
      <c r="AP71" s="154">
        <f t="shared" si="35"/>
        <v>0</v>
      </c>
      <c r="AQ71" s="151">
        <f t="shared" si="42"/>
        <v>0</v>
      </c>
    </row>
    <row r="72" spans="33:43" ht="16.5" thickBot="1">
      <c r="AG72" s="152">
        <f>SUM(AG57:AG71)</f>
        <v>4769.69</v>
      </c>
      <c r="AH72" s="6">
        <f aca="true" t="shared" si="43" ref="AH72:AQ72">SUM(AH57:AH71)</f>
        <v>14309.07</v>
      </c>
      <c r="AI72" s="6">
        <f t="shared" si="43"/>
        <v>14309.07</v>
      </c>
      <c r="AJ72" s="6">
        <f t="shared" si="43"/>
        <v>14309.07</v>
      </c>
      <c r="AK72" s="6">
        <f t="shared" si="43"/>
        <v>14309.07</v>
      </c>
      <c r="AL72" s="152">
        <f t="shared" si="43"/>
        <v>57236.28</v>
      </c>
      <c r="AM72" s="6">
        <f t="shared" si="43"/>
        <v>3534.54</v>
      </c>
      <c r="AN72" s="6">
        <f t="shared" si="43"/>
        <v>3534.54</v>
      </c>
      <c r="AO72" s="6">
        <f t="shared" si="43"/>
        <v>3534.54</v>
      </c>
      <c r="AP72" s="6">
        <f t="shared" si="43"/>
        <v>3534.54</v>
      </c>
      <c r="AQ72" s="152">
        <f t="shared" si="43"/>
        <v>14138.16</v>
      </c>
    </row>
    <row r="74" ht="16.5" thickBot="1"/>
    <row r="75" spans="34:40" ht="15.75">
      <c r="AH75" s="67"/>
      <c r="AI75" s="199" t="s">
        <v>314</v>
      </c>
      <c r="AJ75" s="68" t="s">
        <v>35</v>
      </c>
      <c r="AK75" s="68" t="s">
        <v>36</v>
      </c>
      <c r="AL75" s="68" t="s">
        <v>37</v>
      </c>
      <c r="AM75" s="68" t="s">
        <v>38</v>
      </c>
      <c r="AN75" s="69" t="s">
        <v>174</v>
      </c>
    </row>
    <row r="76" spans="34:40" ht="15.75">
      <c r="AH76" s="70" t="s">
        <v>172</v>
      </c>
      <c r="AI76" s="132">
        <f>AL95</f>
        <v>5812.8</v>
      </c>
      <c r="AJ76" s="132">
        <f>AH95</f>
        <v>1453.2</v>
      </c>
      <c r="AK76" s="132">
        <f>AI95</f>
        <v>1453.2</v>
      </c>
      <c r="AL76" s="132">
        <f>AJ95</f>
        <v>1453.2</v>
      </c>
      <c r="AM76" s="132">
        <f>AK95</f>
        <v>1453.2</v>
      </c>
      <c r="AN76" s="134">
        <f>+AI76-SUM(AJ76:AM76)</f>
        <v>0</v>
      </c>
    </row>
    <row r="77" spans="34:40" ht="15.75">
      <c r="AH77" s="70" t="s">
        <v>173</v>
      </c>
      <c r="AI77" s="132">
        <f>AQ95</f>
        <v>2325.12</v>
      </c>
      <c r="AJ77" s="132">
        <f>AM95</f>
        <v>581.28</v>
      </c>
      <c r="AK77" s="132">
        <f>AN95</f>
        <v>581.28</v>
      </c>
      <c r="AL77" s="132">
        <f>AO95</f>
        <v>581.28</v>
      </c>
      <c r="AM77" s="132">
        <f>AP95</f>
        <v>581.28</v>
      </c>
      <c r="AN77" s="134">
        <f>+AI77-SUM(AJ77:AM77)</f>
        <v>0</v>
      </c>
    </row>
    <row r="78" spans="34:40" ht="16.5" thickBot="1">
      <c r="AH78" s="71" t="s">
        <v>175</v>
      </c>
      <c r="AI78" s="137">
        <f>+AI76+AI77</f>
        <v>8137.92</v>
      </c>
      <c r="AJ78" s="137">
        <f>+AJ76+AJ77</f>
        <v>2034.48</v>
      </c>
      <c r="AK78" s="137">
        <f>+AK76+AK77</f>
        <v>2034.48</v>
      </c>
      <c r="AL78" s="137">
        <f>+AL76+AL77</f>
        <v>2034.48</v>
      </c>
      <c r="AM78" s="137">
        <f>+AM76+AM77</f>
        <v>2034.48</v>
      </c>
      <c r="AN78" s="135">
        <f>+AI78-SUM(AJ78:AM78)</f>
        <v>0</v>
      </c>
    </row>
    <row r="79" spans="33:43" ht="47.25">
      <c r="AG79" s="150" t="s">
        <v>13</v>
      </c>
      <c r="AH79" s="1" t="s">
        <v>46</v>
      </c>
      <c r="AI79" s="1" t="s">
        <v>47</v>
      </c>
      <c r="AJ79" s="1" t="s">
        <v>48</v>
      </c>
      <c r="AK79" s="1" t="s">
        <v>49</v>
      </c>
      <c r="AL79" s="150" t="s">
        <v>50</v>
      </c>
      <c r="AM79" s="1" t="s">
        <v>41</v>
      </c>
      <c r="AN79" s="1" t="s">
        <v>42</v>
      </c>
      <c r="AO79" s="1" t="s">
        <v>43</v>
      </c>
      <c r="AP79" s="1" t="s">
        <v>44</v>
      </c>
      <c r="AQ79" s="150" t="s">
        <v>45</v>
      </c>
    </row>
    <row r="80" spans="33:43" ht="15.75">
      <c r="AG80" s="153">
        <f>AG11*M11</f>
        <v>484.40000000000015</v>
      </c>
      <c r="AH80" s="154">
        <f>ROUND(COUNTA(O11:Q11)*AG80*I11,2)</f>
        <v>1453.2</v>
      </c>
      <c r="AI80" s="154">
        <f>ROUND(COUNTA(R11:T11)*AG80*I11,2)</f>
        <v>1453.2</v>
      </c>
      <c r="AJ80" s="154">
        <f>ROUND(COUNTA(U11:W11)*AG80*I11,2)</f>
        <v>1453.2</v>
      </c>
      <c r="AK80" s="154">
        <f>ROUND(COUNTA(X11:Z11)*AG80*I11,2)</f>
        <v>1453.2</v>
      </c>
      <c r="AL80" s="151">
        <f>SUM(AH80:AK80)</f>
        <v>5812.8</v>
      </c>
      <c r="AM80" s="154">
        <f aca="true" t="shared" si="44" ref="AM80:AM94">ROUND(IF($E11="Full-time",AH80*$D$3,AH80*$D$4),2)</f>
        <v>581.28</v>
      </c>
      <c r="AN80" s="154">
        <f aca="true" t="shared" si="45" ref="AN80:AN94">ROUND(IF($E11="Full-time",AI80*$D$3,AI80*$D$4),2)</f>
        <v>581.28</v>
      </c>
      <c r="AO80" s="154">
        <f aca="true" t="shared" si="46" ref="AO80:AO94">ROUND(IF($E11="Full-time",AJ80*$D$3,AJ80*$D$4),2)</f>
        <v>581.28</v>
      </c>
      <c r="AP80" s="154">
        <f aca="true" t="shared" si="47" ref="AP80:AP94">ROUND(IF($E11="Full-time",AK80*$D$3,AK80*$D$4),2)</f>
        <v>581.28</v>
      </c>
      <c r="AQ80" s="151">
        <f>SUM(AM80:AP80)</f>
        <v>2325.12</v>
      </c>
    </row>
    <row r="81" spans="33:43" ht="15.75">
      <c r="AG81" s="153">
        <f aca="true" t="shared" si="48" ref="AG81:AG94">AG12*M12</f>
        <v>0</v>
      </c>
      <c r="AH81" s="154">
        <f aca="true" t="shared" si="49" ref="AH81:AH94">ROUND(COUNTA(O12:Q12)*AG81*I12,2)</f>
        <v>0</v>
      </c>
      <c r="AI81" s="154">
        <f aca="true" t="shared" si="50" ref="AI81:AI94">ROUND(COUNTA(R12:T12)*AG81*I12,2)</f>
        <v>0</v>
      </c>
      <c r="AJ81" s="154">
        <f aca="true" t="shared" si="51" ref="AJ81:AJ94">ROUND(COUNTA(U12:W12)*AG81*I12,2)</f>
        <v>0</v>
      </c>
      <c r="AK81" s="154">
        <f aca="true" t="shared" si="52" ref="AK81:AK94">ROUND(COUNTA(X12:Z12)*AG81*I12,2)</f>
        <v>0</v>
      </c>
      <c r="AL81" s="151">
        <f aca="true" t="shared" si="53" ref="AL81:AL94">SUM(AH81:AK81)</f>
        <v>0</v>
      </c>
      <c r="AM81" s="154">
        <f t="shared" si="44"/>
        <v>0</v>
      </c>
      <c r="AN81" s="154">
        <f t="shared" si="45"/>
        <v>0</v>
      </c>
      <c r="AO81" s="154">
        <f t="shared" si="46"/>
        <v>0</v>
      </c>
      <c r="AP81" s="154">
        <f t="shared" si="47"/>
        <v>0</v>
      </c>
      <c r="AQ81" s="151">
        <f aca="true" t="shared" si="54" ref="AQ81:AQ94">SUM(AM81:AP81)</f>
        <v>0</v>
      </c>
    </row>
    <row r="82" spans="33:43" ht="15.75">
      <c r="AG82" s="153">
        <f t="shared" si="48"/>
        <v>0</v>
      </c>
      <c r="AH82" s="154">
        <f t="shared" si="49"/>
        <v>0</v>
      </c>
      <c r="AI82" s="154">
        <f t="shared" si="50"/>
        <v>0</v>
      </c>
      <c r="AJ82" s="154">
        <f t="shared" si="51"/>
        <v>0</v>
      </c>
      <c r="AK82" s="154">
        <f t="shared" si="52"/>
        <v>0</v>
      </c>
      <c r="AL82" s="151">
        <f t="shared" si="53"/>
        <v>0</v>
      </c>
      <c r="AM82" s="154">
        <f t="shared" si="44"/>
        <v>0</v>
      </c>
      <c r="AN82" s="154">
        <f t="shared" si="45"/>
        <v>0</v>
      </c>
      <c r="AO82" s="154">
        <f t="shared" si="46"/>
        <v>0</v>
      </c>
      <c r="AP82" s="154">
        <f t="shared" si="47"/>
        <v>0</v>
      </c>
      <c r="AQ82" s="151">
        <f t="shared" si="54"/>
        <v>0</v>
      </c>
    </row>
    <row r="83" spans="33:43" ht="15.75">
      <c r="AG83" s="153">
        <f t="shared" si="48"/>
        <v>0</v>
      </c>
      <c r="AH83" s="154">
        <f t="shared" si="49"/>
        <v>0</v>
      </c>
      <c r="AI83" s="154">
        <f t="shared" si="50"/>
        <v>0</v>
      </c>
      <c r="AJ83" s="154">
        <f t="shared" si="51"/>
        <v>0</v>
      </c>
      <c r="AK83" s="154">
        <f t="shared" si="52"/>
        <v>0</v>
      </c>
      <c r="AL83" s="151">
        <f t="shared" si="53"/>
        <v>0</v>
      </c>
      <c r="AM83" s="154">
        <f t="shared" si="44"/>
        <v>0</v>
      </c>
      <c r="AN83" s="154">
        <f t="shared" si="45"/>
        <v>0</v>
      </c>
      <c r="AO83" s="154">
        <f t="shared" si="46"/>
        <v>0</v>
      </c>
      <c r="AP83" s="154">
        <f t="shared" si="47"/>
        <v>0</v>
      </c>
      <c r="AQ83" s="151">
        <f t="shared" si="54"/>
        <v>0</v>
      </c>
    </row>
    <row r="84" spans="33:43" ht="15.75">
      <c r="AG84" s="153">
        <f t="shared" si="48"/>
        <v>0</v>
      </c>
      <c r="AH84" s="154">
        <f t="shared" si="49"/>
        <v>0</v>
      </c>
      <c r="AI84" s="154">
        <f t="shared" si="50"/>
        <v>0</v>
      </c>
      <c r="AJ84" s="154">
        <f t="shared" si="51"/>
        <v>0</v>
      </c>
      <c r="AK84" s="154">
        <f t="shared" si="52"/>
        <v>0</v>
      </c>
      <c r="AL84" s="151">
        <f t="shared" si="53"/>
        <v>0</v>
      </c>
      <c r="AM84" s="154">
        <f t="shared" si="44"/>
        <v>0</v>
      </c>
      <c r="AN84" s="154">
        <f t="shared" si="45"/>
        <v>0</v>
      </c>
      <c r="AO84" s="154">
        <f t="shared" si="46"/>
        <v>0</v>
      </c>
      <c r="AP84" s="154">
        <f t="shared" si="47"/>
        <v>0</v>
      </c>
      <c r="AQ84" s="151">
        <f t="shared" si="54"/>
        <v>0</v>
      </c>
    </row>
    <row r="85" spans="33:43" ht="15.75">
      <c r="AG85" s="153">
        <f t="shared" si="48"/>
        <v>0</v>
      </c>
      <c r="AH85" s="154">
        <f t="shared" si="49"/>
        <v>0</v>
      </c>
      <c r="AI85" s="154">
        <f t="shared" si="50"/>
        <v>0</v>
      </c>
      <c r="AJ85" s="154">
        <f t="shared" si="51"/>
        <v>0</v>
      </c>
      <c r="AK85" s="154">
        <f t="shared" si="52"/>
        <v>0</v>
      </c>
      <c r="AL85" s="151">
        <f t="shared" si="53"/>
        <v>0</v>
      </c>
      <c r="AM85" s="154">
        <f t="shared" si="44"/>
        <v>0</v>
      </c>
      <c r="AN85" s="154">
        <f t="shared" si="45"/>
        <v>0</v>
      </c>
      <c r="AO85" s="154">
        <f t="shared" si="46"/>
        <v>0</v>
      </c>
      <c r="AP85" s="154">
        <f t="shared" si="47"/>
        <v>0</v>
      </c>
      <c r="AQ85" s="151">
        <f t="shared" si="54"/>
        <v>0</v>
      </c>
    </row>
    <row r="86" spans="33:43" ht="15.75">
      <c r="AG86" s="153">
        <f t="shared" si="48"/>
        <v>0</v>
      </c>
      <c r="AH86" s="154">
        <f t="shared" si="49"/>
        <v>0</v>
      </c>
      <c r="AI86" s="154">
        <f t="shared" si="50"/>
        <v>0</v>
      </c>
      <c r="AJ86" s="154">
        <f t="shared" si="51"/>
        <v>0</v>
      </c>
      <c r="AK86" s="154">
        <f t="shared" si="52"/>
        <v>0</v>
      </c>
      <c r="AL86" s="151">
        <f t="shared" si="53"/>
        <v>0</v>
      </c>
      <c r="AM86" s="154">
        <f t="shared" si="44"/>
        <v>0</v>
      </c>
      <c r="AN86" s="154">
        <f t="shared" si="45"/>
        <v>0</v>
      </c>
      <c r="AO86" s="154">
        <f t="shared" si="46"/>
        <v>0</v>
      </c>
      <c r="AP86" s="154">
        <f t="shared" si="47"/>
        <v>0</v>
      </c>
      <c r="AQ86" s="151">
        <f t="shared" si="54"/>
        <v>0</v>
      </c>
    </row>
    <row r="87" spans="33:43" ht="15.75">
      <c r="AG87" s="153">
        <f t="shared" si="48"/>
        <v>0</v>
      </c>
      <c r="AH87" s="154">
        <f t="shared" si="49"/>
        <v>0</v>
      </c>
      <c r="AI87" s="154">
        <f t="shared" si="50"/>
        <v>0</v>
      </c>
      <c r="AJ87" s="154">
        <f t="shared" si="51"/>
        <v>0</v>
      </c>
      <c r="AK87" s="154">
        <f t="shared" si="52"/>
        <v>0</v>
      </c>
      <c r="AL87" s="151">
        <f t="shared" si="53"/>
        <v>0</v>
      </c>
      <c r="AM87" s="154">
        <f t="shared" si="44"/>
        <v>0</v>
      </c>
      <c r="AN87" s="154">
        <f t="shared" si="45"/>
        <v>0</v>
      </c>
      <c r="AO87" s="154">
        <f t="shared" si="46"/>
        <v>0</v>
      </c>
      <c r="AP87" s="154">
        <f t="shared" si="47"/>
        <v>0</v>
      </c>
      <c r="AQ87" s="151">
        <f t="shared" si="54"/>
        <v>0</v>
      </c>
    </row>
    <row r="88" spans="33:43" ht="15.75">
      <c r="AG88" s="153">
        <f t="shared" si="48"/>
        <v>0</v>
      </c>
      <c r="AH88" s="154">
        <f t="shared" si="49"/>
        <v>0</v>
      </c>
      <c r="AI88" s="154">
        <f t="shared" si="50"/>
        <v>0</v>
      </c>
      <c r="AJ88" s="154">
        <f t="shared" si="51"/>
        <v>0</v>
      </c>
      <c r="AK88" s="154">
        <f t="shared" si="52"/>
        <v>0</v>
      </c>
      <c r="AL88" s="151">
        <f t="shared" si="53"/>
        <v>0</v>
      </c>
      <c r="AM88" s="154">
        <f t="shared" si="44"/>
        <v>0</v>
      </c>
      <c r="AN88" s="154">
        <f t="shared" si="45"/>
        <v>0</v>
      </c>
      <c r="AO88" s="154">
        <f t="shared" si="46"/>
        <v>0</v>
      </c>
      <c r="AP88" s="154">
        <f t="shared" si="47"/>
        <v>0</v>
      </c>
      <c r="AQ88" s="151">
        <f t="shared" si="54"/>
        <v>0</v>
      </c>
    </row>
    <row r="89" spans="33:43" ht="15.75">
      <c r="AG89" s="153">
        <f t="shared" si="48"/>
        <v>0</v>
      </c>
      <c r="AH89" s="154">
        <f t="shared" si="49"/>
        <v>0</v>
      </c>
      <c r="AI89" s="154">
        <f t="shared" si="50"/>
        <v>0</v>
      </c>
      <c r="AJ89" s="154">
        <f t="shared" si="51"/>
        <v>0</v>
      </c>
      <c r="AK89" s="154">
        <f t="shared" si="52"/>
        <v>0</v>
      </c>
      <c r="AL89" s="151">
        <f t="shared" si="53"/>
        <v>0</v>
      </c>
      <c r="AM89" s="154">
        <f t="shared" si="44"/>
        <v>0</v>
      </c>
      <c r="AN89" s="154">
        <f t="shared" si="45"/>
        <v>0</v>
      </c>
      <c r="AO89" s="154">
        <f t="shared" si="46"/>
        <v>0</v>
      </c>
      <c r="AP89" s="154">
        <f t="shared" si="47"/>
        <v>0</v>
      </c>
      <c r="AQ89" s="151">
        <f t="shared" si="54"/>
        <v>0</v>
      </c>
    </row>
    <row r="90" spans="33:43" ht="15.75">
      <c r="AG90" s="153">
        <f t="shared" si="48"/>
        <v>0</v>
      </c>
      <c r="AH90" s="154">
        <f t="shared" si="49"/>
        <v>0</v>
      </c>
      <c r="AI90" s="154">
        <f t="shared" si="50"/>
        <v>0</v>
      </c>
      <c r="AJ90" s="154">
        <f t="shared" si="51"/>
        <v>0</v>
      </c>
      <c r="AK90" s="154">
        <f t="shared" si="52"/>
        <v>0</v>
      </c>
      <c r="AL90" s="151">
        <f t="shared" si="53"/>
        <v>0</v>
      </c>
      <c r="AM90" s="154">
        <f t="shared" si="44"/>
        <v>0</v>
      </c>
      <c r="AN90" s="154">
        <f t="shared" si="45"/>
        <v>0</v>
      </c>
      <c r="AO90" s="154">
        <f t="shared" si="46"/>
        <v>0</v>
      </c>
      <c r="AP90" s="154">
        <f t="shared" si="47"/>
        <v>0</v>
      </c>
      <c r="AQ90" s="151">
        <f t="shared" si="54"/>
        <v>0</v>
      </c>
    </row>
    <row r="91" spans="33:43" ht="15.75">
      <c r="AG91" s="153">
        <f t="shared" si="48"/>
        <v>0</v>
      </c>
      <c r="AH91" s="154">
        <f t="shared" si="49"/>
        <v>0</v>
      </c>
      <c r="AI91" s="154">
        <f t="shared" si="50"/>
        <v>0</v>
      </c>
      <c r="AJ91" s="154">
        <f t="shared" si="51"/>
        <v>0</v>
      </c>
      <c r="AK91" s="154">
        <f t="shared" si="52"/>
        <v>0</v>
      </c>
      <c r="AL91" s="151">
        <f t="shared" si="53"/>
        <v>0</v>
      </c>
      <c r="AM91" s="154">
        <f t="shared" si="44"/>
        <v>0</v>
      </c>
      <c r="AN91" s="154">
        <f t="shared" si="45"/>
        <v>0</v>
      </c>
      <c r="AO91" s="154">
        <f t="shared" si="46"/>
        <v>0</v>
      </c>
      <c r="AP91" s="154">
        <f t="shared" si="47"/>
        <v>0</v>
      </c>
      <c r="AQ91" s="151">
        <f t="shared" si="54"/>
        <v>0</v>
      </c>
    </row>
    <row r="92" spans="33:43" ht="15.75">
      <c r="AG92" s="153">
        <f t="shared" si="48"/>
        <v>0</v>
      </c>
      <c r="AH92" s="154">
        <f t="shared" si="49"/>
        <v>0</v>
      </c>
      <c r="AI92" s="154">
        <f t="shared" si="50"/>
        <v>0</v>
      </c>
      <c r="AJ92" s="154">
        <f t="shared" si="51"/>
        <v>0</v>
      </c>
      <c r="AK92" s="154">
        <f t="shared" si="52"/>
        <v>0</v>
      </c>
      <c r="AL92" s="151">
        <f t="shared" si="53"/>
        <v>0</v>
      </c>
      <c r="AM92" s="154">
        <f t="shared" si="44"/>
        <v>0</v>
      </c>
      <c r="AN92" s="154">
        <f t="shared" si="45"/>
        <v>0</v>
      </c>
      <c r="AO92" s="154">
        <f t="shared" si="46"/>
        <v>0</v>
      </c>
      <c r="AP92" s="154">
        <f t="shared" si="47"/>
        <v>0</v>
      </c>
      <c r="AQ92" s="151">
        <f t="shared" si="54"/>
        <v>0</v>
      </c>
    </row>
    <row r="93" spans="33:43" ht="15.75">
      <c r="AG93" s="153">
        <f t="shared" si="48"/>
        <v>0</v>
      </c>
      <c r="AH93" s="154">
        <f t="shared" si="49"/>
        <v>0</v>
      </c>
      <c r="AI93" s="154">
        <f t="shared" si="50"/>
        <v>0</v>
      </c>
      <c r="AJ93" s="154">
        <f t="shared" si="51"/>
        <v>0</v>
      </c>
      <c r="AK93" s="154">
        <f t="shared" si="52"/>
        <v>0</v>
      </c>
      <c r="AL93" s="151">
        <f t="shared" si="53"/>
        <v>0</v>
      </c>
      <c r="AM93" s="154">
        <f t="shared" si="44"/>
        <v>0</v>
      </c>
      <c r="AN93" s="154">
        <f t="shared" si="45"/>
        <v>0</v>
      </c>
      <c r="AO93" s="154">
        <f t="shared" si="46"/>
        <v>0</v>
      </c>
      <c r="AP93" s="154">
        <f t="shared" si="47"/>
        <v>0</v>
      </c>
      <c r="AQ93" s="151">
        <f t="shared" si="54"/>
        <v>0</v>
      </c>
    </row>
    <row r="94" spans="33:43" ht="15.75">
      <c r="AG94" s="153">
        <f t="shared" si="48"/>
        <v>0</v>
      </c>
      <c r="AH94" s="154">
        <f t="shared" si="49"/>
        <v>0</v>
      </c>
      <c r="AI94" s="154">
        <f t="shared" si="50"/>
        <v>0</v>
      </c>
      <c r="AJ94" s="154">
        <f t="shared" si="51"/>
        <v>0</v>
      </c>
      <c r="AK94" s="154">
        <f t="shared" si="52"/>
        <v>0</v>
      </c>
      <c r="AL94" s="151">
        <f t="shared" si="53"/>
        <v>0</v>
      </c>
      <c r="AM94" s="154">
        <f t="shared" si="44"/>
        <v>0</v>
      </c>
      <c r="AN94" s="154">
        <f t="shared" si="45"/>
        <v>0</v>
      </c>
      <c r="AO94" s="154">
        <f t="shared" si="46"/>
        <v>0</v>
      </c>
      <c r="AP94" s="154">
        <f t="shared" si="47"/>
        <v>0</v>
      </c>
      <c r="AQ94" s="151">
        <f t="shared" si="54"/>
        <v>0</v>
      </c>
    </row>
    <row r="95" spans="33:43" ht="16.5" thickBot="1">
      <c r="AG95" s="152">
        <f>SUM(AG80:AG94)</f>
        <v>484.40000000000015</v>
      </c>
      <c r="AH95" s="6">
        <f aca="true" t="shared" si="55" ref="AH95:AQ95">SUM(AH80:AH94)</f>
        <v>1453.2</v>
      </c>
      <c r="AI95" s="6">
        <f t="shared" si="55"/>
        <v>1453.2</v>
      </c>
      <c r="AJ95" s="6">
        <f t="shared" si="55"/>
        <v>1453.2</v>
      </c>
      <c r="AK95" s="6">
        <f t="shared" si="55"/>
        <v>1453.2</v>
      </c>
      <c r="AL95" s="152">
        <f t="shared" si="55"/>
        <v>5812.8</v>
      </c>
      <c r="AM95" s="6">
        <f t="shared" si="55"/>
        <v>581.28</v>
      </c>
      <c r="AN95" s="6">
        <f t="shared" si="55"/>
        <v>581.28</v>
      </c>
      <c r="AO95" s="6">
        <f t="shared" si="55"/>
        <v>581.28</v>
      </c>
      <c r="AP95" s="6">
        <f t="shared" si="55"/>
        <v>581.28</v>
      </c>
      <c r="AQ95" s="152">
        <f t="shared" si="55"/>
        <v>2325.12</v>
      </c>
    </row>
    <row r="97" ht="16.5" thickBot="1"/>
    <row r="98" spans="34:40" ht="15.75">
      <c r="AH98" s="67"/>
      <c r="AI98" s="199" t="s">
        <v>319</v>
      </c>
      <c r="AJ98" s="68" t="s">
        <v>35</v>
      </c>
      <c r="AK98" s="68" t="s">
        <v>36</v>
      </c>
      <c r="AL98" s="68" t="s">
        <v>37</v>
      </c>
      <c r="AM98" s="68" t="s">
        <v>38</v>
      </c>
      <c r="AN98" s="69" t="s">
        <v>174</v>
      </c>
    </row>
    <row r="99" spans="34:40" ht="15.75">
      <c r="AH99" s="70" t="s">
        <v>172</v>
      </c>
      <c r="AI99" s="132">
        <f>AL118</f>
        <v>0</v>
      </c>
      <c r="AJ99" s="132">
        <f>AH118</f>
        <v>0</v>
      </c>
      <c r="AK99" s="132">
        <f>AI118</f>
        <v>0</v>
      </c>
      <c r="AL99" s="132">
        <f>AJ118</f>
        <v>0</v>
      </c>
      <c r="AM99" s="132">
        <f>AK118</f>
        <v>0</v>
      </c>
      <c r="AN99" s="134">
        <f>+AI99-SUM(AJ99:AM99)</f>
        <v>0</v>
      </c>
    </row>
    <row r="100" spans="34:40" ht="15.75">
      <c r="AH100" s="70" t="s">
        <v>173</v>
      </c>
      <c r="AI100" s="132">
        <f>AQ118</f>
        <v>0</v>
      </c>
      <c r="AJ100" s="132">
        <f>AM118</f>
        <v>0</v>
      </c>
      <c r="AK100" s="132">
        <f>AN118</f>
        <v>0</v>
      </c>
      <c r="AL100" s="132">
        <f>AO118</f>
        <v>0</v>
      </c>
      <c r="AM100" s="132">
        <f>AP118</f>
        <v>0</v>
      </c>
      <c r="AN100" s="134">
        <f>+AI100-SUM(AJ100:AM100)</f>
        <v>0</v>
      </c>
    </row>
    <row r="101" spans="34:40" ht="16.5" thickBot="1">
      <c r="AH101" s="71" t="s">
        <v>175</v>
      </c>
      <c r="AI101" s="137">
        <f>+AI99+AI100</f>
        <v>0</v>
      </c>
      <c r="AJ101" s="137">
        <f>+AJ99+AJ100</f>
        <v>0</v>
      </c>
      <c r="AK101" s="137">
        <f>+AK99+AK100</f>
        <v>0</v>
      </c>
      <c r="AL101" s="137">
        <f>+AL99+AL100</f>
        <v>0</v>
      </c>
      <c r="AM101" s="137">
        <f>+AM99+AM100</f>
        <v>0</v>
      </c>
      <c r="AN101" s="135">
        <f>+AI101-SUM(AJ101:AM101)</f>
        <v>0</v>
      </c>
    </row>
    <row r="102" spans="33:43" ht="47.25">
      <c r="AG102" s="150" t="s">
        <v>13</v>
      </c>
      <c r="AH102" s="1" t="s">
        <v>46</v>
      </c>
      <c r="AI102" s="1" t="s">
        <v>47</v>
      </c>
      <c r="AJ102" s="1" t="s">
        <v>48</v>
      </c>
      <c r="AK102" s="1" t="s">
        <v>49</v>
      </c>
      <c r="AL102" s="150" t="s">
        <v>50</v>
      </c>
      <c r="AM102" s="1" t="s">
        <v>41</v>
      </c>
      <c r="AN102" s="1" t="s">
        <v>42</v>
      </c>
      <c r="AO102" s="1" t="s">
        <v>43</v>
      </c>
      <c r="AP102" s="1" t="s">
        <v>44</v>
      </c>
      <c r="AQ102" s="150" t="s">
        <v>45</v>
      </c>
    </row>
    <row r="103" spans="33:43" ht="15.75">
      <c r="AG103" s="153">
        <f>AG11*N11</f>
        <v>0</v>
      </c>
      <c r="AH103" s="154">
        <f>ROUND(COUNTA(O11:Q11)*AG103*I11,2)</f>
        <v>0</v>
      </c>
      <c r="AI103" s="154">
        <f>ROUND(COUNTA(R11:T11)*AG103*I11,2)</f>
        <v>0</v>
      </c>
      <c r="AJ103" s="154">
        <f>ROUND(COUNTA(U11:W11)*AG103*I11,2)</f>
        <v>0</v>
      </c>
      <c r="AK103" s="154">
        <f>ROUND(COUNTA(X11:Z11)*AG103*I11,2)</f>
        <v>0</v>
      </c>
      <c r="AL103" s="151">
        <f>SUM(AH103:AK103)</f>
        <v>0</v>
      </c>
      <c r="AM103" s="154">
        <f aca="true" t="shared" si="56" ref="AM103:AM117">ROUND(IF($E11="Full-time",AH103*$D$3,AH103*$D$4),2)</f>
        <v>0</v>
      </c>
      <c r="AN103" s="154">
        <f aca="true" t="shared" si="57" ref="AN103:AN117">ROUND(IF($E11="Full-time",AI103*$D$3,AI103*$D$4),2)</f>
        <v>0</v>
      </c>
      <c r="AO103" s="154">
        <f aca="true" t="shared" si="58" ref="AO103:AO117">ROUND(IF($E11="Full-time",AJ103*$D$3,AJ103*$D$4),2)</f>
        <v>0</v>
      </c>
      <c r="AP103" s="154">
        <f aca="true" t="shared" si="59" ref="AP103:AP117">ROUND(IF($E11="Full-time",AK103*$D$3,AK103*$D$4),2)</f>
        <v>0</v>
      </c>
      <c r="AQ103" s="151">
        <f>SUM(AM103:AP103)</f>
        <v>0</v>
      </c>
    </row>
    <row r="104" spans="33:43" ht="15.75">
      <c r="AG104" s="153">
        <f aca="true" t="shared" si="60" ref="AG104:AG117">AG12*N12</f>
        <v>0</v>
      </c>
      <c r="AH104" s="154">
        <f aca="true" t="shared" si="61" ref="AH104:AH117">ROUND(COUNTA(O12:Q12)*AG104*I12,2)</f>
        <v>0</v>
      </c>
      <c r="AI104" s="154">
        <f aca="true" t="shared" si="62" ref="AI104:AI117">ROUND(COUNTA(R12:T12)*AG104*I12,2)</f>
        <v>0</v>
      </c>
      <c r="AJ104" s="154">
        <f aca="true" t="shared" si="63" ref="AJ104:AJ117">ROUND(COUNTA(U12:W12)*AG104*I12,2)</f>
        <v>0</v>
      </c>
      <c r="AK104" s="154">
        <f aca="true" t="shared" si="64" ref="AK104:AK117">ROUND(COUNTA(X12:Z12)*AG104*I12,2)</f>
        <v>0</v>
      </c>
      <c r="AL104" s="151">
        <f aca="true" t="shared" si="65" ref="AL104:AL117">SUM(AH104:AK104)</f>
        <v>0</v>
      </c>
      <c r="AM104" s="154">
        <f t="shared" si="56"/>
        <v>0</v>
      </c>
      <c r="AN104" s="154">
        <f t="shared" si="57"/>
        <v>0</v>
      </c>
      <c r="AO104" s="154">
        <f t="shared" si="58"/>
        <v>0</v>
      </c>
      <c r="AP104" s="154">
        <f t="shared" si="59"/>
        <v>0</v>
      </c>
      <c r="AQ104" s="151">
        <f aca="true" t="shared" si="66" ref="AQ104:AQ117">SUM(AM104:AP104)</f>
        <v>0</v>
      </c>
    </row>
    <row r="105" spans="33:43" ht="15.75">
      <c r="AG105" s="153">
        <f t="shared" si="60"/>
        <v>0</v>
      </c>
      <c r="AH105" s="154">
        <f t="shared" si="61"/>
        <v>0</v>
      </c>
      <c r="AI105" s="154">
        <f t="shared" si="62"/>
        <v>0</v>
      </c>
      <c r="AJ105" s="154">
        <f t="shared" si="63"/>
        <v>0</v>
      </c>
      <c r="AK105" s="154">
        <f t="shared" si="64"/>
        <v>0</v>
      </c>
      <c r="AL105" s="151">
        <f t="shared" si="65"/>
        <v>0</v>
      </c>
      <c r="AM105" s="154">
        <f t="shared" si="56"/>
        <v>0</v>
      </c>
      <c r="AN105" s="154">
        <f t="shared" si="57"/>
        <v>0</v>
      </c>
      <c r="AO105" s="154">
        <f t="shared" si="58"/>
        <v>0</v>
      </c>
      <c r="AP105" s="154">
        <f t="shared" si="59"/>
        <v>0</v>
      </c>
      <c r="AQ105" s="151">
        <f t="shared" si="66"/>
        <v>0</v>
      </c>
    </row>
    <row r="106" spans="33:43" ht="15.75">
      <c r="AG106" s="153">
        <f t="shared" si="60"/>
        <v>0</v>
      </c>
      <c r="AH106" s="154">
        <f t="shared" si="61"/>
        <v>0</v>
      </c>
      <c r="AI106" s="154">
        <f t="shared" si="62"/>
        <v>0</v>
      </c>
      <c r="AJ106" s="154">
        <f t="shared" si="63"/>
        <v>0</v>
      </c>
      <c r="AK106" s="154">
        <f t="shared" si="64"/>
        <v>0</v>
      </c>
      <c r="AL106" s="151">
        <f t="shared" si="65"/>
        <v>0</v>
      </c>
      <c r="AM106" s="154">
        <f t="shared" si="56"/>
        <v>0</v>
      </c>
      <c r="AN106" s="154">
        <f t="shared" si="57"/>
        <v>0</v>
      </c>
      <c r="AO106" s="154">
        <f t="shared" si="58"/>
        <v>0</v>
      </c>
      <c r="AP106" s="154">
        <f t="shared" si="59"/>
        <v>0</v>
      </c>
      <c r="AQ106" s="151">
        <f t="shared" si="66"/>
        <v>0</v>
      </c>
    </row>
    <row r="107" spans="33:43" ht="15.75">
      <c r="AG107" s="153">
        <f t="shared" si="60"/>
        <v>0</v>
      </c>
      <c r="AH107" s="154">
        <f t="shared" si="61"/>
        <v>0</v>
      </c>
      <c r="AI107" s="154">
        <f t="shared" si="62"/>
        <v>0</v>
      </c>
      <c r="AJ107" s="154">
        <f t="shared" si="63"/>
        <v>0</v>
      </c>
      <c r="AK107" s="154">
        <f t="shared" si="64"/>
        <v>0</v>
      </c>
      <c r="AL107" s="151">
        <f t="shared" si="65"/>
        <v>0</v>
      </c>
      <c r="AM107" s="154">
        <f t="shared" si="56"/>
        <v>0</v>
      </c>
      <c r="AN107" s="154">
        <f t="shared" si="57"/>
        <v>0</v>
      </c>
      <c r="AO107" s="154">
        <f t="shared" si="58"/>
        <v>0</v>
      </c>
      <c r="AP107" s="154">
        <f t="shared" si="59"/>
        <v>0</v>
      </c>
      <c r="AQ107" s="151">
        <f t="shared" si="66"/>
        <v>0</v>
      </c>
    </row>
    <row r="108" spans="33:43" ht="15.75">
      <c r="AG108" s="153">
        <f t="shared" si="60"/>
        <v>0</v>
      </c>
      <c r="AH108" s="154">
        <f t="shared" si="61"/>
        <v>0</v>
      </c>
      <c r="AI108" s="154">
        <f t="shared" si="62"/>
        <v>0</v>
      </c>
      <c r="AJ108" s="154">
        <f t="shared" si="63"/>
        <v>0</v>
      </c>
      <c r="AK108" s="154">
        <f t="shared" si="64"/>
        <v>0</v>
      </c>
      <c r="AL108" s="151">
        <f t="shared" si="65"/>
        <v>0</v>
      </c>
      <c r="AM108" s="154">
        <f t="shared" si="56"/>
        <v>0</v>
      </c>
      <c r="AN108" s="154">
        <f t="shared" si="57"/>
        <v>0</v>
      </c>
      <c r="AO108" s="154">
        <f t="shared" si="58"/>
        <v>0</v>
      </c>
      <c r="AP108" s="154">
        <f t="shared" si="59"/>
        <v>0</v>
      </c>
      <c r="AQ108" s="151">
        <f t="shared" si="66"/>
        <v>0</v>
      </c>
    </row>
    <row r="109" spans="33:43" ht="15.75">
      <c r="AG109" s="153">
        <f t="shared" si="60"/>
        <v>0</v>
      </c>
      <c r="AH109" s="154">
        <f t="shared" si="61"/>
        <v>0</v>
      </c>
      <c r="AI109" s="154">
        <f t="shared" si="62"/>
        <v>0</v>
      </c>
      <c r="AJ109" s="154">
        <f t="shared" si="63"/>
        <v>0</v>
      </c>
      <c r="AK109" s="154">
        <f t="shared" si="64"/>
        <v>0</v>
      </c>
      <c r="AL109" s="151">
        <f t="shared" si="65"/>
        <v>0</v>
      </c>
      <c r="AM109" s="154">
        <f t="shared" si="56"/>
        <v>0</v>
      </c>
      <c r="AN109" s="154">
        <f t="shared" si="57"/>
        <v>0</v>
      </c>
      <c r="AO109" s="154">
        <f t="shared" si="58"/>
        <v>0</v>
      </c>
      <c r="AP109" s="154">
        <f t="shared" si="59"/>
        <v>0</v>
      </c>
      <c r="AQ109" s="151">
        <f t="shared" si="66"/>
        <v>0</v>
      </c>
    </row>
    <row r="110" spans="33:43" ht="15.75">
      <c r="AG110" s="153">
        <f t="shared" si="60"/>
        <v>0</v>
      </c>
      <c r="AH110" s="154">
        <f t="shared" si="61"/>
        <v>0</v>
      </c>
      <c r="AI110" s="154">
        <f t="shared" si="62"/>
        <v>0</v>
      </c>
      <c r="AJ110" s="154">
        <f t="shared" si="63"/>
        <v>0</v>
      </c>
      <c r="AK110" s="154">
        <f t="shared" si="64"/>
        <v>0</v>
      </c>
      <c r="AL110" s="151">
        <f t="shared" si="65"/>
        <v>0</v>
      </c>
      <c r="AM110" s="154">
        <f t="shared" si="56"/>
        <v>0</v>
      </c>
      <c r="AN110" s="154">
        <f t="shared" si="57"/>
        <v>0</v>
      </c>
      <c r="AO110" s="154">
        <f t="shared" si="58"/>
        <v>0</v>
      </c>
      <c r="AP110" s="154">
        <f t="shared" si="59"/>
        <v>0</v>
      </c>
      <c r="AQ110" s="151">
        <f t="shared" si="66"/>
        <v>0</v>
      </c>
    </row>
    <row r="111" spans="33:43" ht="15.75">
      <c r="AG111" s="153">
        <f t="shared" si="60"/>
        <v>0</v>
      </c>
      <c r="AH111" s="154">
        <f t="shared" si="61"/>
        <v>0</v>
      </c>
      <c r="AI111" s="154">
        <f t="shared" si="62"/>
        <v>0</v>
      </c>
      <c r="AJ111" s="154">
        <f t="shared" si="63"/>
        <v>0</v>
      </c>
      <c r="AK111" s="154">
        <f t="shared" si="64"/>
        <v>0</v>
      </c>
      <c r="AL111" s="151">
        <f t="shared" si="65"/>
        <v>0</v>
      </c>
      <c r="AM111" s="154">
        <f t="shared" si="56"/>
        <v>0</v>
      </c>
      <c r="AN111" s="154">
        <f t="shared" si="57"/>
        <v>0</v>
      </c>
      <c r="AO111" s="154">
        <f t="shared" si="58"/>
        <v>0</v>
      </c>
      <c r="AP111" s="154">
        <f t="shared" si="59"/>
        <v>0</v>
      </c>
      <c r="AQ111" s="151">
        <f t="shared" si="66"/>
        <v>0</v>
      </c>
    </row>
    <row r="112" spans="33:43" ht="15.75">
      <c r="AG112" s="153">
        <f t="shared" si="60"/>
        <v>0</v>
      </c>
      <c r="AH112" s="154">
        <f t="shared" si="61"/>
        <v>0</v>
      </c>
      <c r="AI112" s="154">
        <f t="shared" si="62"/>
        <v>0</v>
      </c>
      <c r="AJ112" s="154">
        <f t="shared" si="63"/>
        <v>0</v>
      </c>
      <c r="AK112" s="154">
        <f t="shared" si="64"/>
        <v>0</v>
      </c>
      <c r="AL112" s="151">
        <f t="shared" si="65"/>
        <v>0</v>
      </c>
      <c r="AM112" s="154">
        <f t="shared" si="56"/>
        <v>0</v>
      </c>
      <c r="AN112" s="154">
        <f t="shared" si="57"/>
        <v>0</v>
      </c>
      <c r="AO112" s="154">
        <f t="shared" si="58"/>
        <v>0</v>
      </c>
      <c r="AP112" s="154">
        <f t="shared" si="59"/>
        <v>0</v>
      </c>
      <c r="AQ112" s="151">
        <f t="shared" si="66"/>
        <v>0</v>
      </c>
    </row>
    <row r="113" spans="33:43" ht="15.75">
      <c r="AG113" s="153">
        <f t="shared" si="60"/>
        <v>0</v>
      </c>
      <c r="AH113" s="154">
        <f t="shared" si="61"/>
        <v>0</v>
      </c>
      <c r="AI113" s="154">
        <f t="shared" si="62"/>
        <v>0</v>
      </c>
      <c r="AJ113" s="154">
        <f t="shared" si="63"/>
        <v>0</v>
      </c>
      <c r="AK113" s="154">
        <f t="shared" si="64"/>
        <v>0</v>
      </c>
      <c r="AL113" s="151">
        <f t="shared" si="65"/>
        <v>0</v>
      </c>
      <c r="AM113" s="154">
        <f t="shared" si="56"/>
        <v>0</v>
      </c>
      <c r="AN113" s="154">
        <f t="shared" si="57"/>
        <v>0</v>
      </c>
      <c r="AO113" s="154">
        <f t="shared" si="58"/>
        <v>0</v>
      </c>
      <c r="AP113" s="154">
        <f t="shared" si="59"/>
        <v>0</v>
      </c>
      <c r="AQ113" s="151">
        <f t="shared" si="66"/>
        <v>0</v>
      </c>
    </row>
    <row r="114" spans="33:43" ht="15.75">
      <c r="AG114" s="153">
        <f t="shared" si="60"/>
        <v>0</v>
      </c>
      <c r="AH114" s="154">
        <f t="shared" si="61"/>
        <v>0</v>
      </c>
      <c r="AI114" s="154">
        <f t="shared" si="62"/>
        <v>0</v>
      </c>
      <c r="AJ114" s="154">
        <f t="shared" si="63"/>
        <v>0</v>
      </c>
      <c r="AK114" s="154">
        <f t="shared" si="64"/>
        <v>0</v>
      </c>
      <c r="AL114" s="151">
        <f t="shared" si="65"/>
        <v>0</v>
      </c>
      <c r="AM114" s="154">
        <f t="shared" si="56"/>
        <v>0</v>
      </c>
      <c r="AN114" s="154">
        <f t="shared" si="57"/>
        <v>0</v>
      </c>
      <c r="AO114" s="154">
        <f t="shared" si="58"/>
        <v>0</v>
      </c>
      <c r="AP114" s="154">
        <f t="shared" si="59"/>
        <v>0</v>
      </c>
      <c r="AQ114" s="151">
        <f t="shared" si="66"/>
        <v>0</v>
      </c>
    </row>
    <row r="115" spans="33:43" ht="15.75">
      <c r="AG115" s="153">
        <f t="shared" si="60"/>
        <v>0</v>
      </c>
      <c r="AH115" s="154">
        <f t="shared" si="61"/>
        <v>0</v>
      </c>
      <c r="AI115" s="154">
        <f t="shared" si="62"/>
        <v>0</v>
      </c>
      <c r="AJ115" s="154">
        <f t="shared" si="63"/>
        <v>0</v>
      </c>
      <c r="AK115" s="154">
        <f t="shared" si="64"/>
        <v>0</v>
      </c>
      <c r="AL115" s="151">
        <f t="shared" si="65"/>
        <v>0</v>
      </c>
      <c r="AM115" s="154">
        <f t="shared" si="56"/>
        <v>0</v>
      </c>
      <c r="AN115" s="154">
        <f t="shared" si="57"/>
        <v>0</v>
      </c>
      <c r="AO115" s="154">
        <f t="shared" si="58"/>
        <v>0</v>
      </c>
      <c r="AP115" s="154">
        <f t="shared" si="59"/>
        <v>0</v>
      </c>
      <c r="AQ115" s="151">
        <f t="shared" si="66"/>
        <v>0</v>
      </c>
    </row>
    <row r="116" spans="33:43" ht="15.75">
      <c r="AG116" s="153">
        <f t="shared" si="60"/>
        <v>0</v>
      </c>
      <c r="AH116" s="154">
        <f t="shared" si="61"/>
        <v>0</v>
      </c>
      <c r="AI116" s="154">
        <f t="shared" si="62"/>
        <v>0</v>
      </c>
      <c r="AJ116" s="154">
        <f t="shared" si="63"/>
        <v>0</v>
      </c>
      <c r="AK116" s="154">
        <f t="shared" si="64"/>
        <v>0</v>
      </c>
      <c r="AL116" s="151">
        <f t="shared" si="65"/>
        <v>0</v>
      </c>
      <c r="AM116" s="154">
        <f t="shared" si="56"/>
        <v>0</v>
      </c>
      <c r="AN116" s="154">
        <f t="shared" si="57"/>
        <v>0</v>
      </c>
      <c r="AO116" s="154">
        <f t="shared" si="58"/>
        <v>0</v>
      </c>
      <c r="AP116" s="154">
        <f t="shared" si="59"/>
        <v>0</v>
      </c>
      <c r="AQ116" s="151">
        <f t="shared" si="66"/>
        <v>0</v>
      </c>
    </row>
    <row r="117" spans="33:43" ht="15.75">
      <c r="AG117" s="153">
        <f t="shared" si="60"/>
        <v>0</v>
      </c>
      <c r="AH117" s="154">
        <f t="shared" si="61"/>
        <v>0</v>
      </c>
      <c r="AI117" s="154">
        <f t="shared" si="62"/>
        <v>0</v>
      </c>
      <c r="AJ117" s="154">
        <f t="shared" si="63"/>
        <v>0</v>
      </c>
      <c r="AK117" s="154">
        <f t="shared" si="64"/>
        <v>0</v>
      </c>
      <c r="AL117" s="151">
        <f t="shared" si="65"/>
        <v>0</v>
      </c>
      <c r="AM117" s="154">
        <f t="shared" si="56"/>
        <v>0</v>
      </c>
      <c r="AN117" s="154">
        <f t="shared" si="57"/>
        <v>0</v>
      </c>
      <c r="AO117" s="154">
        <f t="shared" si="58"/>
        <v>0</v>
      </c>
      <c r="AP117" s="154">
        <f t="shared" si="59"/>
        <v>0</v>
      </c>
      <c r="AQ117" s="151">
        <f t="shared" si="66"/>
        <v>0</v>
      </c>
    </row>
    <row r="118" spans="33:43" ht="16.5" thickBot="1">
      <c r="AG118" s="152">
        <f>SUM(AG103:AG117)</f>
        <v>0</v>
      </c>
      <c r="AH118" s="6">
        <f aca="true" t="shared" si="67" ref="AH118:AQ118">SUM(AH103:AH117)</f>
        <v>0</v>
      </c>
      <c r="AI118" s="6">
        <f t="shared" si="67"/>
        <v>0</v>
      </c>
      <c r="AJ118" s="6">
        <f t="shared" si="67"/>
        <v>0</v>
      </c>
      <c r="AK118" s="6">
        <f t="shared" si="67"/>
        <v>0</v>
      </c>
      <c r="AL118" s="152">
        <f t="shared" si="67"/>
        <v>0</v>
      </c>
      <c r="AM118" s="6">
        <f t="shared" si="67"/>
        <v>0</v>
      </c>
      <c r="AN118" s="6">
        <f t="shared" si="67"/>
        <v>0</v>
      </c>
      <c r="AO118" s="6">
        <f t="shared" si="67"/>
        <v>0</v>
      </c>
      <c r="AP118" s="6">
        <f t="shared" si="67"/>
        <v>0</v>
      </c>
      <c r="AQ118" s="152">
        <f t="shared" si="67"/>
        <v>0</v>
      </c>
    </row>
  </sheetData>
  <sheetProtection/>
  <mergeCells count="20">
    <mergeCell ref="B24:C24"/>
    <mergeCell ref="B18:C18"/>
    <mergeCell ref="B10:C10"/>
    <mergeCell ref="B11:C11"/>
    <mergeCell ref="B12:C12"/>
    <mergeCell ref="B13:C13"/>
    <mergeCell ref="B14:C14"/>
    <mergeCell ref="B15:C15"/>
    <mergeCell ref="B16:C16"/>
    <mergeCell ref="B17:C17"/>
    <mergeCell ref="H28:I28"/>
    <mergeCell ref="H29:I29"/>
    <mergeCell ref="H30:I30"/>
    <mergeCell ref="B25:C25"/>
    <mergeCell ref="B19:C19"/>
    <mergeCell ref="B20:C20"/>
    <mergeCell ref="B21:C21"/>
    <mergeCell ref="B22:C22"/>
    <mergeCell ref="B23:C23"/>
    <mergeCell ref="H27:I27"/>
  </mergeCells>
  <conditionalFormatting sqref="F11:F25">
    <cfRule type="cellIs" priority="3" dxfId="3" operator="equal" stopIfTrue="1">
      <formula>"???"</formula>
    </cfRule>
  </conditionalFormatting>
  <conditionalFormatting sqref="AA11:AA25">
    <cfRule type="cellIs" priority="1" dxfId="3" operator="lessThan" stopIfTrue="1">
      <formula>12</formula>
    </cfRule>
    <cfRule type="cellIs" priority="2" dxfId="3" operator="equal" stopIfTrue="1">
      <formula>"&lt;&gt;12"</formula>
    </cfRule>
  </conditionalFormatting>
  <dataValidations count="2">
    <dataValidation type="list" allowBlank="1" showInputMessage="1" showErrorMessage="1" sqref="D11:D25">
      <formula1>$AT$1:$AT$9</formula1>
    </dataValidation>
    <dataValidation type="list" allowBlank="1" showInputMessage="1" showErrorMessage="1" sqref="E11:E25">
      <formula1>$AS$1:$AS$2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3"/>
  <sheetViews>
    <sheetView zoomScale="78" zoomScaleNormal="78" zoomScalePageLayoutView="0" workbookViewId="0" topLeftCell="A1">
      <selection activeCell="J29" sqref="J29"/>
    </sheetView>
  </sheetViews>
  <sheetFormatPr defaultColWidth="8.88671875" defaultRowHeight="15.75"/>
  <cols>
    <col min="1" max="1" width="2.88671875" style="0" customWidth="1"/>
    <col min="3" max="3" width="20.5546875" style="0" customWidth="1"/>
    <col min="4" max="4" width="6.4453125" style="0" customWidth="1"/>
    <col min="5" max="5" width="9.88671875" style="0" customWidth="1"/>
    <col min="11" max="11" width="16.77734375" style="0" customWidth="1"/>
    <col min="13" max="16" width="5.21484375" style="23" customWidth="1"/>
    <col min="18" max="18" width="2.5546875" style="0" customWidth="1"/>
    <col min="24" max="24" width="5.77734375" style="0" customWidth="1"/>
    <col min="25" max="25" width="1.5625" style="0" customWidth="1"/>
    <col min="31" max="31" width="1.5625" style="23" customWidth="1"/>
    <col min="32" max="32" width="9.3359375" style="23" bestFit="1" customWidth="1"/>
    <col min="33" max="33" width="7.6640625" style="23" bestFit="1" customWidth="1"/>
    <col min="34" max="34" width="7.4453125" style="23" bestFit="1" customWidth="1"/>
    <col min="35" max="35" width="8.5546875" style="23" bestFit="1" customWidth="1"/>
    <col min="36" max="36" width="7.4453125" style="23" bestFit="1" customWidth="1"/>
    <col min="37" max="37" width="7.6640625" style="23" customWidth="1"/>
    <col min="38" max="38" width="1.5625" style="0" customWidth="1"/>
    <col min="39" max="39" width="9.3359375" style="0" bestFit="1" customWidth="1"/>
    <col min="40" max="40" width="7.6640625" style="0" bestFit="1" customWidth="1"/>
    <col min="41" max="41" width="7.4453125" style="0" bestFit="1" customWidth="1"/>
    <col min="42" max="42" width="8.5546875" style="0" bestFit="1" customWidth="1"/>
    <col min="43" max="43" width="7.4453125" style="0" bestFit="1" customWidth="1"/>
    <col min="44" max="44" width="5.5546875" style="0" customWidth="1"/>
    <col min="45" max="45" width="1.66796875" style="0" customWidth="1"/>
    <col min="46" max="46" width="9.6640625" style="0" bestFit="1" customWidth="1"/>
    <col min="47" max="47" width="7.6640625" style="0" bestFit="1" customWidth="1"/>
    <col min="48" max="48" width="7.4453125" style="0" bestFit="1" customWidth="1"/>
    <col min="49" max="49" width="8.5546875" style="0" bestFit="1" customWidth="1"/>
    <col min="50" max="50" width="7.4453125" style="0" bestFit="1" customWidth="1"/>
    <col min="51" max="51" width="6.99609375" style="0" customWidth="1"/>
  </cols>
  <sheetData>
    <row r="1" spans="1:17" ht="21">
      <c r="A1" s="20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Q1" s="19"/>
    </row>
    <row r="2" spans="1:51" ht="48" thickBot="1">
      <c r="A2" s="21"/>
      <c r="B2" s="21" t="s">
        <v>61</v>
      </c>
      <c r="C2" s="54" t="s">
        <v>179</v>
      </c>
      <c r="D2" s="54" t="s">
        <v>178</v>
      </c>
      <c r="E2" s="54" t="s">
        <v>62</v>
      </c>
      <c r="F2" s="54" t="s">
        <v>63</v>
      </c>
      <c r="G2" s="54" t="s">
        <v>64</v>
      </c>
      <c r="H2" s="54" t="s">
        <v>65</v>
      </c>
      <c r="I2" s="54" t="s">
        <v>66</v>
      </c>
      <c r="J2" s="54" t="s">
        <v>67</v>
      </c>
      <c r="K2" s="54" t="s">
        <v>68</v>
      </c>
      <c r="L2" s="54" t="s">
        <v>75</v>
      </c>
      <c r="M2" s="3" t="s">
        <v>315</v>
      </c>
      <c r="N2" s="3" t="s">
        <v>316</v>
      </c>
      <c r="O2" s="3" t="s">
        <v>317</v>
      </c>
      <c r="P2" s="3" t="s">
        <v>318</v>
      </c>
      <c r="Q2" s="54" t="s">
        <v>177</v>
      </c>
      <c r="S2" s="72" t="s">
        <v>180</v>
      </c>
      <c r="T2" s="72" t="s">
        <v>35</v>
      </c>
      <c r="U2" s="72" t="s">
        <v>36</v>
      </c>
      <c r="V2" s="72" t="s">
        <v>37</v>
      </c>
      <c r="W2" s="72" t="s">
        <v>38</v>
      </c>
      <c r="X2" s="72" t="s">
        <v>59</v>
      </c>
      <c r="Z2" s="72" t="s">
        <v>320</v>
      </c>
      <c r="AA2" s="72" t="s">
        <v>35</v>
      </c>
      <c r="AB2" s="72" t="s">
        <v>36</v>
      </c>
      <c r="AC2" s="72" t="s">
        <v>37</v>
      </c>
      <c r="AD2" s="72" t="s">
        <v>38</v>
      </c>
      <c r="AF2" s="72" t="s">
        <v>321</v>
      </c>
      <c r="AG2" s="72" t="s">
        <v>35</v>
      </c>
      <c r="AH2" s="72" t="s">
        <v>36</v>
      </c>
      <c r="AI2" s="72" t="s">
        <v>37</v>
      </c>
      <c r="AJ2" s="72" t="s">
        <v>38</v>
      </c>
      <c r="AK2" s="72" t="s">
        <v>59</v>
      </c>
      <c r="AM2" s="72" t="s">
        <v>322</v>
      </c>
      <c r="AN2" s="72" t="s">
        <v>35</v>
      </c>
      <c r="AO2" s="72" t="s">
        <v>36</v>
      </c>
      <c r="AP2" s="72" t="s">
        <v>37</v>
      </c>
      <c r="AQ2" s="72" t="s">
        <v>38</v>
      </c>
      <c r="AR2" s="72" t="s">
        <v>59</v>
      </c>
      <c r="AT2" s="72" t="s">
        <v>323</v>
      </c>
      <c r="AU2" s="72" t="s">
        <v>35</v>
      </c>
      <c r="AV2" s="72" t="s">
        <v>36</v>
      </c>
      <c r="AW2" s="72" t="s">
        <v>37</v>
      </c>
      <c r="AX2" s="72" t="s">
        <v>38</v>
      </c>
      <c r="AY2" s="72" t="s">
        <v>59</v>
      </c>
    </row>
    <row r="3" spans="1:51" ht="15.75">
      <c r="A3" s="19">
        <v>1</v>
      </c>
      <c r="B3" s="178" t="s">
        <v>59</v>
      </c>
      <c r="C3" s="74" t="s">
        <v>69</v>
      </c>
      <c r="D3" s="75">
        <v>1</v>
      </c>
      <c r="E3" s="74" t="s">
        <v>70</v>
      </c>
      <c r="F3" s="74">
        <v>3</v>
      </c>
      <c r="G3" s="58">
        <v>300</v>
      </c>
      <c r="H3" s="58">
        <v>250</v>
      </c>
      <c r="I3" s="58">
        <v>0</v>
      </c>
      <c r="J3" s="58">
        <v>80</v>
      </c>
      <c r="K3" s="58"/>
      <c r="L3" s="58">
        <v>0</v>
      </c>
      <c r="M3" s="196">
        <v>0.6</v>
      </c>
      <c r="N3" s="192">
        <v>0.2</v>
      </c>
      <c r="O3" s="193">
        <f>1-M3-N3-P3</f>
        <v>0.2</v>
      </c>
      <c r="P3" s="197">
        <v>0</v>
      </c>
      <c r="Q3" s="55">
        <f>SUM(G3:L3)</f>
        <v>630</v>
      </c>
      <c r="R3" s="76"/>
      <c r="S3" s="136">
        <f>+Q3</f>
        <v>630</v>
      </c>
      <c r="T3" s="136">
        <f>ROUND(IF($D3=1,S3,0),2)</f>
        <v>630</v>
      </c>
      <c r="U3" s="136">
        <f>ROUND(IF($D3=2,S3,0),2)</f>
        <v>0</v>
      </c>
      <c r="V3" s="136">
        <f>ROUND(IF($D3=3,S3,0),2)</f>
        <v>0</v>
      </c>
      <c r="W3" s="136">
        <f>S3-SUM(T3:V3)</f>
        <v>0</v>
      </c>
      <c r="X3" s="136">
        <f>S3-SUM(T3:W3)</f>
        <v>0</v>
      </c>
      <c r="Z3" s="155">
        <f>S3*M3</f>
        <v>378</v>
      </c>
      <c r="AA3" s="155">
        <f>ROUND(IF($D3=1,Z3,0),2)</f>
        <v>378</v>
      </c>
      <c r="AB3" s="155">
        <f>ROUND(IF($D3=2,Z3,0),2)</f>
        <v>0</v>
      </c>
      <c r="AC3" s="155">
        <f>ROUND(IF($D3=3,Z3,0),2)</f>
        <v>0</v>
      </c>
      <c r="AD3" s="155">
        <f>Z3-SUM(AA3:AC3)</f>
        <v>0</v>
      </c>
      <c r="AF3" s="155">
        <f>S3*N3</f>
        <v>126</v>
      </c>
      <c r="AG3" s="155">
        <f>ROUND(IF($D3=1,AF3,0),2)</f>
        <v>126</v>
      </c>
      <c r="AH3" s="155">
        <f>ROUND(IF($D3=2,AF3,0),2)</f>
        <v>0</v>
      </c>
      <c r="AI3" s="155">
        <f>ROUND(IF($D3=3,AF3,0),2)</f>
        <v>0</v>
      </c>
      <c r="AJ3" s="155">
        <f>AF3-SUM(AG3:AI3)</f>
        <v>0</v>
      </c>
      <c r="AK3" s="155">
        <f>AF3-SUM(AG3:AJ3)</f>
        <v>0</v>
      </c>
      <c r="AM3" s="155">
        <f>S3*O3</f>
        <v>126</v>
      </c>
      <c r="AN3" s="155">
        <f>ROUND(IF($D3=1,AM3,0),2)</f>
        <v>126</v>
      </c>
      <c r="AO3" s="155">
        <f>ROUND(IF($D3=2,AM3,0),2)</f>
        <v>0</v>
      </c>
      <c r="AP3" s="155">
        <f>ROUND(IF($D3=3,AM3,0),2)</f>
        <v>0</v>
      </c>
      <c r="AQ3" s="155">
        <f>AM3-SUM(AN3:AP3)</f>
        <v>0</v>
      </c>
      <c r="AR3" s="155">
        <f>AM3-SUM(AN3:AQ3)</f>
        <v>0</v>
      </c>
      <c r="AT3" s="155">
        <f>S3*P3</f>
        <v>0</v>
      </c>
      <c r="AU3" s="155">
        <f>ROUND(IF($D3=1,AT3,0),2)</f>
        <v>0</v>
      </c>
      <c r="AV3" s="155">
        <f>ROUND(IF($D3=2,AT3,0),2)</f>
        <v>0</v>
      </c>
      <c r="AW3" s="155">
        <f>ROUND(IF($D3=3,AT3,0),2)</f>
        <v>0</v>
      </c>
      <c r="AX3" s="155">
        <f>AT3-SUM(AU3:AW3)</f>
        <v>0</v>
      </c>
      <c r="AY3" s="155">
        <f>AT3-SUM(AU3:AX3)</f>
        <v>0</v>
      </c>
    </row>
    <row r="4" spans="1:51" ht="15.75">
      <c r="A4" s="19">
        <v>2</v>
      </c>
      <c r="B4" s="178" t="s">
        <v>59</v>
      </c>
      <c r="C4" s="74" t="s">
        <v>176</v>
      </c>
      <c r="D4" s="75">
        <v>3</v>
      </c>
      <c r="E4" s="74" t="s">
        <v>71</v>
      </c>
      <c r="F4" s="74">
        <v>5</v>
      </c>
      <c r="G4" s="58">
        <v>1000</v>
      </c>
      <c r="H4" s="58">
        <v>37</v>
      </c>
      <c r="I4" s="58">
        <v>450</v>
      </c>
      <c r="J4" s="58">
        <v>200</v>
      </c>
      <c r="K4" s="179" t="s">
        <v>296</v>
      </c>
      <c r="L4" s="58">
        <v>40</v>
      </c>
      <c r="M4" s="198">
        <f>M3</f>
        <v>0.6</v>
      </c>
      <c r="N4" s="194">
        <f>N3</f>
        <v>0.2</v>
      </c>
      <c r="O4" s="195">
        <f>1-M4-N4-P4</f>
        <v>0.2</v>
      </c>
      <c r="P4" s="200">
        <f>P3</f>
        <v>0</v>
      </c>
      <c r="Q4" s="55">
        <f aca="true" t="shared" si="0" ref="Q4:Q22">SUM(G4:L4)</f>
        <v>1727</v>
      </c>
      <c r="R4" s="76"/>
      <c r="S4" s="136">
        <f>+Q4</f>
        <v>1727</v>
      </c>
      <c r="T4" s="136">
        <f aca="true" t="shared" si="1" ref="T4:T22">ROUND(IF($D4=1,S4,0),2)</f>
        <v>0</v>
      </c>
      <c r="U4" s="136">
        <f aca="true" t="shared" si="2" ref="U4:U22">ROUND(IF($D4=2,S4,0),2)</f>
        <v>0</v>
      </c>
      <c r="V4" s="136">
        <f aca="true" t="shared" si="3" ref="V4:V22">ROUND(IF($D4=3,S4,0),2)</f>
        <v>1727</v>
      </c>
      <c r="W4" s="155">
        <f aca="true" t="shared" si="4" ref="W4:W22">S4-SUM(T4:V4)</f>
        <v>0</v>
      </c>
      <c r="X4" s="136">
        <f aca="true" t="shared" si="5" ref="X4:X22">S4-SUM(T4:W4)</f>
        <v>0</v>
      </c>
      <c r="Z4" s="155">
        <f aca="true" t="shared" si="6" ref="Z4:Z22">S4*M4</f>
        <v>1036.2</v>
      </c>
      <c r="AA4" s="155">
        <f aca="true" t="shared" si="7" ref="AA4:AA22">ROUND(IF($D4=1,Z4,0),2)</f>
        <v>0</v>
      </c>
      <c r="AB4" s="155">
        <f aca="true" t="shared" si="8" ref="AB4:AB22">ROUND(IF($D4=2,Z4,0),2)</f>
        <v>0</v>
      </c>
      <c r="AC4" s="155">
        <f aca="true" t="shared" si="9" ref="AC4:AC22">ROUND(IF($D4=3,Z4,0),2)</f>
        <v>1036.2</v>
      </c>
      <c r="AD4" s="155">
        <f aca="true" t="shared" si="10" ref="AD4:AD22">Z4-SUM(AA4:AC4)</f>
        <v>0</v>
      </c>
      <c r="AF4" s="155">
        <f aca="true" t="shared" si="11" ref="AF4:AF22">S4*N4</f>
        <v>345.40000000000003</v>
      </c>
      <c r="AG4" s="155">
        <f aca="true" t="shared" si="12" ref="AG4:AG22">ROUND(IF($D4=1,AF4,0),2)</f>
        <v>0</v>
      </c>
      <c r="AH4" s="155">
        <f aca="true" t="shared" si="13" ref="AH4:AH22">ROUND(IF($D4=2,AF4,0),2)</f>
        <v>0</v>
      </c>
      <c r="AI4" s="155">
        <f aca="true" t="shared" si="14" ref="AI4:AI22">ROUND(IF($D4=3,AF4,0),2)</f>
        <v>345.4</v>
      </c>
      <c r="AJ4" s="155">
        <f aca="true" t="shared" si="15" ref="AJ4:AJ22">AF4-SUM(AG4:AI4)</f>
        <v>0</v>
      </c>
      <c r="AK4" s="155">
        <f aca="true" t="shared" si="16" ref="AK4:AK22">AF4-SUM(AG4:AJ4)</f>
        <v>0</v>
      </c>
      <c r="AM4" s="155">
        <f aca="true" t="shared" si="17" ref="AM4:AM22">S4*O4</f>
        <v>345.40000000000003</v>
      </c>
      <c r="AN4" s="155">
        <f aca="true" t="shared" si="18" ref="AN4:AN22">ROUND(IF($D4=1,AM4,0),2)</f>
        <v>0</v>
      </c>
      <c r="AO4" s="155">
        <f aca="true" t="shared" si="19" ref="AO4:AO22">ROUND(IF($D4=2,AM4,0),2)</f>
        <v>0</v>
      </c>
      <c r="AP4" s="155">
        <f aca="true" t="shared" si="20" ref="AP4:AP22">ROUND(IF($D4=3,AM4,0),2)</f>
        <v>345.4</v>
      </c>
      <c r="AQ4" s="155">
        <f aca="true" t="shared" si="21" ref="AQ4:AQ22">AM4-SUM(AN4:AP4)</f>
        <v>0</v>
      </c>
      <c r="AR4" s="155">
        <f aca="true" t="shared" si="22" ref="AR4:AR22">AM4-SUM(AN4:AQ4)</f>
        <v>0</v>
      </c>
      <c r="AT4" s="155">
        <f aca="true" t="shared" si="23" ref="AT4:AT22">S4*P4</f>
        <v>0</v>
      </c>
      <c r="AU4" s="155">
        <f aca="true" t="shared" si="24" ref="AU4:AU22">ROUND(IF($D4=1,AT4,0),2)</f>
        <v>0</v>
      </c>
      <c r="AV4" s="155">
        <f aca="true" t="shared" si="25" ref="AV4:AV22">ROUND(IF($D4=2,AT4,0),2)</f>
        <v>0</v>
      </c>
      <c r="AW4" s="155">
        <f aca="true" t="shared" si="26" ref="AW4:AW22">ROUND(IF($D4=3,AT4,0),2)</f>
        <v>0</v>
      </c>
      <c r="AX4" s="155">
        <f aca="true" t="shared" si="27" ref="AX4:AX22">AT4-SUM(AU4:AW4)</f>
        <v>0</v>
      </c>
      <c r="AY4" s="155">
        <f aca="true" t="shared" si="28" ref="AY4:AY22">AT4-SUM(AU4:AX4)</f>
        <v>0</v>
      </c>
    </row>
    <row r="5" spans="1:51" ht="15.75">
      <c r="A5" s="19">
        <v>3</v>
      </c>
      <c r="B5" s="178" t="s">
        <v>59</v>
      </c>
      <c r="C5" s="178" t="s">
        <v>297</v>
      </c>
      <c r="D5" s="75">
        <v>1</v>
      </c>
      <c r="E5" s="178" t="s">
        <v>298</v>
      </c>
      <c r="F5" s="74">
        <v>1</v>
      </c>
      <c r="G5" s="58"/>
      <c r="H5" s="58">
        <v>100</v>
      </c>
      <c r="I5" s="58"/>
      <c r="J5" s="58"/>
      <c r="K5" s="58"/>
      <c r="L5" s="58"/>
      <c r="M5" s="198">
        <f aca="true" t="shared" si="29" ref="M5:M22">M4</f>
        <v>0.6</v>
      </c>
      <c r="N5" s="194">
        <f aca="true" t="shared" si="30" ref="N5:N22">N4</f>
        <v>0.2</v>
      </c>
      <c r="O5" s="195">
        <f aca="true" t="shared" si="31" ref="O5:O22">1-M5-N5-P5</f>
        <v>0.2</v>
      </c>
      <c r="P5" s="200">
        <f aca="true" t="shared" si="32" ref="P5:P22">P4</f>
        <v>0</v>
      </c>
      <c r="Q5" s="55">
        <f t="shared" si="0"/>
        <v>100</v>
      </c>
      <c r="R5" s="76"/>
      <c r="S5" s="136">
        <f aca="true" t="shared" si="33" ref="S5:S22">+Q5</f>
        <v>100</v>
      </c>
      <c r="T5" s="136">
        <f>ROUND(IF($D5=1,S5,0),2)</f>
        <v>100</v>
      </c>
      <c r="U5" s="136">
        <f t="shared" si="2"/>
        <v>0</v>
      </c>
      <c r="V5" s="136">
        <f t="shared" si="3"/>
        <v>0</v>
      </c>
      <c r="W5" s="155">
        <f t="shared" si="4"/>
        <v>0</v>
      </c>
      <c r="X5" s="136">
        <f t="shared" si="5"/>
        <v>0</v>
      </c>
      <c r="Z5" s="155">
        <f t="shared" si="6"/>
        <v>60</v>
      </c>
      <c r="AA5" s="155">
        <f t="shared" si="7"/>
        <v>60</v>
      </c>
      <c r="AB5" s="155">
        <f t="shared" si="8"/>
        <v>0</v>
      </c>
      <c r="AC5" s="155">
        <f t="shared" si="9"/>
        <v>0</v>
      </c>
      <c r="AD5" s="155">
        <f t="shared" si="10"/>
        <v>0</v>
      </c>
      <c r="AF5" s="155">
        <f t="shared" si="11"/>
        <v>20</v>
      </c>
      <c r="AG5" s="155">
        <f t="shared" si="12"/>
        <v>20</v>
      </c>
      <c r="AH5" s="155">
        <f t="shared" si="13"/>
        <v>0</v>
      </c>
      <c r="AI5" s="155">
        <f t="shared" si="14"/>
        <v>0</v>
      </c>
      <c r="AJ5" s="155">
        <f t="shared" si="15"/>
        <v>0</v>
      </c>
      <c r="AK5" s="155">
        <f t="shared" si="16"/>
        <v>0</v>
      </c>
      <c r="AM5" s="155">
        <f t="shared" si="17"/>
        <v>20</v>
      </c>
      <c r="AN5" s="155">
        <f t="shared" si="18"/>
        <v>20</v>
      </c>
      <c r="AO5" s="155">
        <f t="shared" si="19"/>
        <v>0</v>
      </c>
      <c r="AP5" s="155">
        <f t="shared" si="20"/>
        <v>0</v>
      </c>
      <c r="AQ5" s="155">
        <f t="shared" si="21"/>
        <v>0</v>
      </c>
      <c r="AR5" s="155">
        <f t="shared" si="22"/>
        <v>0</v>
      </c>
      <c r="AT5" s="155">
        <f t="shared" si="23"/>
        <v>0</v>
      </c>
      <c r="AU5" s="155">
        <f t="shared" si="24"/>
        <v>0</v>
      </c>
      <c r="AV5" s="155">
        <f t="shared" si="25"/>
        <v>0</v>
      </c>
      <c r="AW5" s="155">
        <f t="shared" si="26"/>
        <v>0</v>
      </c>
      <c r="AX5" s="155">
        <f t="shared" si="27"/>
        <v>0</v>
      </c>
      <c r="AY5" s="155">
        <f t="shared" si="28"/>
        <v>0</v>
      </c>
    </row>
    <row r="6" spans="1:51" ht="15.75">
      <c r="A6" s="19">
        <v>4</v>
      </c>
      <c r="B6" s="178" t="s">
        <v>59</v>
      </c>
      <c r="C6" s="178" t="s">
        <v>297</v>
      </c>
      <c r="D6" s="75">
        <v>2</v>
      </c>
      <c r="E6" s="178" t="s">
        <v>298</v>
      </c>
      <c r="F6" s="74">
        <v>1</v>
      </c>
      <c r="G6" s="58"/>
      <c r="H6" s="58">
        <v>100</v>
      </c>
      <c r="I6" s="58"/>
      <c r="J6" s="58"/>
      <c r="K6" s="58"/>
      <c r="L6" s="58"/>
      <c r="M6" s="198">
        <f t="shared" si="29"/>
        <v>0.6</v>
      </c>
      <c r="N6" s="194">
        <f t="shared" si="30"/>
        <v>0.2</v>
      </c>
      <c r="O6" s="195">
        <f t="shared" si="31"/>
        <v>0.2</v>
      </c>
      <c r="P6" s="200">
        <f t="shared" si="32"/>
        <v>0</v>
      </c>
      <c r="Q6" s="55">
        <f t="shared" si="0"/>
        <v>100</v>
      </c>
      <c r="R6" s="76"/>
      <c r="S6" s="136">
        <f t="shared" si="33"/>
        <v>100</v>
      </c>
      <c r="T6" s="136">
        <f t="shared" si="1"/>
        <v>0</v>
      </c>
      <c r="U6" s="136">
        <f t="shared" si="2"/>
        <v>100</v>
      </c>
      <c r="V6" s="136">
        <f t="shared" si="3"/>
        <v>0</v>
      </c>
      <c r="W6" s="155">
        <f t="shared" si="4"/>
        <v>0</v>
      </c>
      <c r="X6" s="136">
        <f t="shared" si="5"/>
        <v>0</v>
      </c>
      <c r="Z6" s="155">
        <f t="shared" si="6"/>
        <v>60</v>
      </c>
      <c r="AA6" s="155">
        <f t="shared" si="7"/>
        <v>0</v>
      </c>
      <c r="AB6" s="155">
        <f t="shared" si="8"/>
        <v>60</v>
      </c>
      <c r="AC6" s="155">
        <f t="shared" si="9"/>
        <v>0</v>
      </c>
      <c r="AD6" s="155">
        <f t="shared" si="10"/>
        <v>0</v>
      </c>
      <c r="AF6" s="155">
        <f t="shared" si="11"/>
        <v>20</v>
      </c>
      <c r="AG6" s="155">
        <f t="shared" si="12"/>
        <v>0</v>
      </c>
      <c r="AH6" s="155">
        <f t="shared" si="13"/>
        <v>20</v>
      </c>
      <c r="AI6" s="155">
        <f t="shared" si="14"/>
        <v>0</v>
      </c>
      <c r="AJ6" s="155">
        <f t="shared" si="15"/>
        <v>0</v>
      </c>
      <c r="AK6" s="155">
        <f t="shared" si="16"/>
        <v>0</v>
      </c>
      <c r="AM6" s="155">
        <f t="shared" si="17"/>
        <v>20</v>
      </c>
      <c r="AN6" s="155">
        <f t="shared" si="18"/>
        <v>0</v>
      </c>
      <c r="AO6" s="155">
        <f t="shared" si="19"/>
        <v>20</v>
      </c>
      <c r="AP6" s="155">
        <f t="shared" si="20"/>
        <v>0</v>
      </c>
      <c r="AQ6" s="155">
        <f t="shared" si="21"/>
        <v>0</v>
      </c>
      <c r="AR6" s="155">
        <f t="shared" si="22"/>
        <v>0</v>
      </c>
      <c r="AT6" s="155">
        <f t="shared" si="23"/>
        <v>0</v>
      </c>
      <c r="AU6" s="155">
        <f t="shared" si="24"/>
        <v>0</v>
      </c>
      <c r="AV6" s="155">
        <f t="shared" si="25"/>
        <v>0</v>
      </c>
      <c r="AW6" s="155">
        <f t="shared" si="26"/>
        <v>0</v>
      </c>
      <c r="AX6" s="155">
        <f t="shared" si="27"/>
        <v>0</v>
      </c>
      <c r="AY6" s="155">
        <f t="shared" si="28"/>
        <v>0</v>
      </c>
    </row>
    <row r="7" spans="1:51" ht="15.75">
      <c r="A7" s="19">
        <v>5</v>
      </c>
      <c r="B7" s="178" t="s">
        <v>59</v>
      </c>
      <c r="C7" s="178" t="s">
        <v>297</v>
      </c>
      <c r="D7" s="75">
        <v>3</v>
      </c>
      <c r="E7" s="178" t="s">
        <v>298</v>
      </c>
      <c r="F7" s="74">
        <v>1</v>
      </c>
      <c r="G7" s="58"/>
      <c r="H7" s="58">
        <v>100</v>
      </c>
      <c r="I7" s="58"/>
      <c r="J7" s="58"/>
      <c r="K7" s="58"/>
      <c r="L7" s="58"/>
      <c r="M7" s="198">
        <f t="shared" si="29"/>
        <v>0.6</v>
      </c>
      <c r="N7" s="194">
        <f t="shared" si="30"/>
        <v>0.2</v>
      </c>
      <c r="O7" s="195">
        <f t="shared" si="31"/>
        <v>0.2</v>
      </c>
      <c r="P7" s="200">
        <f t="shared" si="32"/>
        <v>0</v>
      </c>
      <c r="Q7" s="55">
        <f t="shared" si="0"/>
        <v>100</v>
      </c>
      <c r="R7" s="76"/>
      <c r="S7" s="136">
        <f t="shared" si="33"/>
        <v>100</v>
      </c>
      <c r="T7" s="136">
        <f t="shared" si="1"/>
        <v>0</v>
      </c>
      <c r="U7" s="136">
        <f t="shared" si="2"/>
        <v>0</v>
      </c>
      <c r="V7" s="136">
        <f t="shared" si="3"/>
        <v>100</v>
      </c>
      <c r="W7" s="155">
        <f t="shared" si="4"/>
        <v>0</v>
      </c>
      <c r="X7" s="136">
        <f t="shared" si="5"/>
        <v>0</v>
      </c>
      <c r="Z7" s="155">
        <f t="shared" si="6"/>
        <v>60</v>
      </c>
      <c r="AA7" s="155">
        <f t="shared" si="7"/>
        <v>0</v>
      </c>
      <c r="AB7" s="155">
        <f t="shared" si="8"/>
        <v>0</v>
      </c>
      <c r="AC7" s="155">
        <f t="shared" si="9"/>
        <v>60</v>
      </c>
      <c r="AD7" s="155">
        <f t="shared" si="10"/>
        <v>0</v>
      </c>
      <c r="AF7" s="155">
        <f t="shared" si="11"/>
        <v>20</v>
      </c>
      <c r="AG7" s="155">
        <f t="shared" si="12"/>
        <v>0</v>
      </c>
      <c r="AH7" s="155">
        <f t="shared" si="13"/>
        <v>0</v>
      </c>
      <c r="AI7" s="155">
        <f t="shared" si="14"/>
        <v>20</v>
      </c>
      <c r="AJ7" s="155">
        <f t="shared" si="15"/>
        <v>0</v>
      </c>
      <c r="AK7" s="155">
        <f t="shared" si="16"/>
        <v>0</v>
      </c>
      <c r="AM7" s="155">
        <f t="shared" si="17"/>
        <v>20</v>
      </c>
      <c r="AN7" s="155">
        <f t="shared" si="18"/>
        <v>0</v>
      </c>
      <c r="AO7" s="155">
        <f t="shared" si="19"/>
        <v>0</v>
      </c>
      <c r="AP7" s="155">
        <f t="shared" si="20"/>
        <v>20</v>
      </c>
      <c r="AQ7" s="155">
        <f t="shared" si="21"/>
        <v>0</v>
      </c>
      <c r="AR7" s="155">
        <f t="shared" si="22"/>
        <v>0</v>
      </c>
      <c r="AT7" s="155">
        <f t="shared" si="23"/>
        <v>0</v>
      </c>
      <c r="AU7" s="155">
        <f t="shared" si="24"/>
        <v>0</v>
      </c>
      <c r="AV7" s="155">
        <f t="shared" si="25"/>
        <v>0</v>
      </c>
      <c r="AW7" s="155">
        <f t="shared" si="26"/>
        <v>0</v>
      </c>
      <c r="AX7" s="155">
        <f t="shared" si="27"/>
        <v>0</v>
      </c>
      <c r="AY7" s="155">
        <f t="shared" si="28"/>
        <v>0</v>
      </c>
    </row>
    <row r="8" spans="1:51" ht="15.75">
      <c r="A8" s="19">
        <v>6</v>
      </c>
      <c r="B8" s="178" t="s">
        <v>59</v>
      </c>
      <c r="C8" s="178" t="s">
        <v>297</v>
      </c>
      <c r="D8" s="75">
        <v>4</v>
      </c>
      <c r="E8" s="178" t="s">
        <v>298</v>
      </c>
      <c r="F8" s="74">
        <v>1</v>
      </c>
      <c r="G8" s="58"/>
      <c r="H8" s="58">
        <v>100</v>
      </c>
      <c r="I8" s="58"/>
      <c r="J8" s="58"/>
      <c r="K8" s="58"/>
      <c r="L8" s="58"/>
      <c r="M8" s="198">
        <f t="shared" si="29"/>
        <v>0.6</v>
      </c>
      <c r="N8" s="194">
        <f t="shared" si="30"/>
        <v>0.2</v>
      </c>
      <c r="O8" s="195">
        <f t="shared" si="31"/>
        <v>0.2</v>
      </c>
      <c r="P8" s="200">
        <f t="shared" si="32"/>
        <v>0</v>
      </c>
      <c r="Q8" s="55">
        <f t="shared" si="0"/>
        <v>100</v>
      </c>
      <c r="R8" s="76"/>
      <c r="S8" s="136">
        <f t="shared" si="33"/>
        <v>100</v>
      </c>
      <c r="T8" s="136">
        <f>ROUND(IF($D8=1,S8,0),2)</f>
        <v>0</v>
      </c>
      <c r="U8" s="136">
        <f t="shared" si="2"/>
        <v>0</v>
      </c>
      <c r="V8" s="136">
        <f t="shared" si="3"/>
        <v>0</v>
      </c>
      <c r="W8" s="155">
        <f t="shared" si="4"/>
        <v>100</v>
      </c>
      <c r="X8" s="136">
        <f t="shared" si="5"/>
        <v>0</v>
      </c>
      <c r="Z8" s="155">
        <f t="shared" si="6"/>
        <v>60</v>
      </c>
      <c r="AA8" s="155">
        <f t="shared" si="7"/>
        <v>0</v>
      </c>
      <c r="AB8" s="155">
        <f t="shared" si="8"/>
        <v>0</v>
      </c>
      <c r="AC8" s="155">
        <f t="shared" si="9"/>
        <v>0</v>
      </c>
      <c r="AD8" s="155">
        <f t="shared" si="10"/>
        <v>60</v>
      </c>
      <c r="AF8" s="155">
        <f t="shared" si="11"/>
        <v>20</v>
      </c>
      <c r="AG8" s="155">
        <f t="shared" si="12"/>
        <v>0</v>
      </c>
      <c r="AH8" s="155">
        <f t="shared" si="13"/>
        <v>0</v>
      </c>
      <c r="AI8" s="155">
        <f t="shared" si="14"/>
        <v>0</v>
      </c>
      <c r="AJ8" s="155">
        <f t="shared" si="15"/>
        <v>20</v>
      </c>
      <c r="AK8" s="155">
        <f t="shared" si="16"/>
        <v>0</v>
      </c>
      <c r="AM8" s="155">
        <f t="shared" si="17"/>
        <v>20</v>
      </c>
      <c r="AN8" s="155">
        <f t="shared" si="18"/>
        <v>0</v>
      </c>
      <c r="AO8" s="155">
        <f t="shared" si="19"/>
        <v>0</v>
      </c>
      <c r="AP8" s="155">
        <f t="shared" si="20"/>
        <v>0</v>
      </c>
      <c r="AQ8" s="155">
        <f t="shared" si="21"/>
        <v>20</v>
      </c>
      <c r="AR8" s="155">
        <f t="shared" si="22"/>
        <v>0</v>
      </c>
      <c r="AT8" s="155">
        <f t="shared" si="23"/>
        <v>0</v>
      </c>
      <c r="AU8" s="155">
        <f t="shared" si="24"/>
        <v>0</v>
      </c>
      <c r="AV8" s="155">
        <f t="shared" si="25"/>
        <v>0</v>
      </c>
      <c r="AW8" s="155">
        <f t="shared" si="26"/>
        <v>0</v>
      </c>
      <c r="AX8" s="155">
        <f t="shared" si="27"/>
        <v>0</v>
      </c>
      <c r="AY8" s="155">
        <f t="shared" si="28"/>
        <v>0</v>
      </c>
    </row>
    <row r="9" spans="1:51" ht="15.75">
      <c r="A9" s="19">
        <v>7</v>
      </c>
      <c r="B9" s="74"/>
      <c r="C9" s="74"/>
      <c r="D9" s="75"/>
      <c r="E9" s="74"/>
      <c r="F9" s="74"/>
      <c r="G9" s="58"/>
      <c r="H9" s="58"/>
      <c r="I9" s="58"/>
      <c r="J9" s="58"/>
      <c r="K9" s="58"/>
      <c r="L9" s="58"/>
      <c r="M9" s="198">
        <f t="shared" si="29"/>
        <v>0.6</v>
      </c>
      <c r="N9" s="194">
        <f t="shared" si="30"/>
        <v>0.2</v>
      </c>
      <c r="O9" s="195">
        <f t="shared" si="31"/>
        <v>0.2</v>
      </c>
      <c r="P9" s="200">
        <f t="shared" si="32"/>
        <v>0</v>
      </c>
      <c r="Q9" s="55">
        <f t="shared" si="0"/>
        <v>0</v>
      </c>
      <c r="R9" s="76"/>
      <c r="S9" s="136">
        <f t="shared" si="33"/>
        <v>0</v>
      </c>
      <c r="T9" s="136">
        <f t="shared" si="1"/>
        <v>0</v>
      </c>
      <c r="U9" s="136">
        <f t="shared" si="2"/>
        <v>0</v>
      </c>
      <c r="V9" s="136">
        <f t="shared" si="3"/>
        <v>0</v>
      </c>
      <c r="W9" s="155">
        <f t="shared" si="4"/>
        <v>0</v>
      </c>
      <c r="X9" s="136">
        <f t="shared" si="5"/>
        <v>0</v>
      </c>
      <c r="Z9" s="155">
        <f t="shared" si="6"/>
        <v>0</v>
      </c>
      <c r="AA9" s="155">
        <f t="shared" si="7"/>
        <v>0</v>
      </c>
      <c r="AB9" s="155">
        <f t="shared" si="8"/>
        <v>0</v>
      </c>
      <c r="AC9" s="155">
        <f t="shared" si="9"/>
        <v>0</v>
      </c>
      <c r="AD9" s="155">
        <f t="shared" si="10"/>
        <v>0</v>
      </c>
      <c r="AF9" s="155">
        <f t="shared" si="11"/>
        <v>0</v>
      </c>
      <c r="AG9" s="155">
        <f t="shared" si="12"/>
        <v>0</v>
      </c>
      <c r="AH9" s="155">
        <f t="shared" si="13"/>
        <v>0</v>
      </c>
      <c r="AI9" s="155">
        <f t="shared" si="14"/>
        <v>0</v>
      </c>
      <c r="AJ9" s="155">
        <f t="shared" si="15"/>
        <v>0</v>
      </c>
      <c r="AK9" s="155">
        <f t="shared" si="16"/>
        <v>0</v>
      </c>
      <c r="AM9" s="155">
        <f t="shared" si="17"/>
        <v>0</v>
      </c>
      <c r="AN9" s="155">
        <f t="shared" si="18"/>
        <v>0</v>
      </c>
      <c r="AO9" s="155">
        <f t="shared" si="19"/>
        <v>0</v>
      </c>
      <c r="AP9" s="155">
        <f t="shared" si="20"/>
        <v>0</v>
      </c>
      <c r="AQ9" s="155">
        <f t="shared" si="21"/>
        <v>0</v>
      </c>
      <c r="AR9" s="155">
        <f t="shared" si="22"/>
        <v>0</v>
      </c>
      <c r="AT9" s="155">
        <f t="shared" si="23"/>
        <v>0</v>
      </c>
      <c r="AU9" s="155">
        <f t="shared" si="24"/>
        <v>0</v>
      </c>
      <c r="AV9" s="155">
        <f t="shared" si="25"/>
        <v>0</v>
      </c>
      <c r="AW9" s="155">
        <f t="shared" si="26"/>
        <v>0</v>
      </c>
      <c r="AX9" s="155">
        <f t="shared" si="27"/>
        <v>0</v>
      </c>
      <c r="AY9" s="155">
        <f t="shared" si="28"/>
        <v>0</v>
      </c>
    </row>
    <row r="10" spans="1:51" ht="15.75">
      <c r="A10" s="19">
        <v>8</v>
      </c>
      <c r="B10" s="74"/>
      <c r="C10" s="74"/>
      <c r="D10" s="75"/>
      <c r="E10" s="74"/>
      <c r="F10" s="74"/>
      <c r="G10" s="58"/>
      <c r="H10" s="58"/>
      <c r="I10" s="58"/>
      <c r="J10" s="58"/>
      <c r="K10" s="58"/>
      <c r="L10" s="58"/>
      <c r="M10" s="198">
        <f t="shared" si="29"/>
        <v>0.6</v>
      </c>
      <c r="N10" s="194">
        <f t="shared" si="30"/>
        <v>0.2</v>
      </c>
      <c r="O10" s="195">
        <f t="shared" si="31"/>
        <v>0.2</v>
      </c>
      <c r="P10" s="200">
        <f t="shared" si="32"/>
        <v>0</v>
      </c>
      <c r="Q10" s="55">
        <f t="shared" si="0"/>
        <v>0</v>
      </c>
      <c r="R10" s="76"/>
      <c r="S10" s="136">
        <f t="shared" si="33"/>
        <v>0</v>
      </c>
      <c r="T10" s="136">
        <f t="shared" si="1"/>
        <v>0</v>
      </c>
      <c r="U10" s="136">
        <f t="shared" si="2"/>
        <v>0</v>
      </c>
      <c r="V10" s="136">
        <f t="shared" si="3"/>
        <v>0</v>
      </c>
      <c r="W10" s="155">
        <f t="shared" si="4"/>
        <v>0</v>
      </c>
      <c r="X10" s="136">
        <f t="shared" si="5"/>
        <v>0</v>
      </c>
      <c r="Z10" s="155">
        <f t="shared" si="6"/>
        <v>0</v>
      </c>
      <c r="AA10" s="155">
        <f t="shared" si="7"/>
        <v>0</v>
      </c>
      <c r="AB10" s="155">
        <f t="shared" si="8"/>
        <v>0</v>
      </c>
      <c r="AC10" s="155">
        <f t="shared" si="9"/>
        <v>0</v>
      </c>
      <c r="AD10" s="155">
        <f t="shared" si="10"/>
        <v>0</v>
      </c>
      <c r="AF10" s="155">
        <f t="shared" si="11"/>
        <v>0</v>
      </c>
      <c r="AG10" s="155">
        <f t="shared" si="12"/>
        <v>0</v>
      </c>
      <c r="AH10" s="155">
        <f t="shared" si="13"/>
        <v>0</v>
      </c>
      <c r="AI10" s="155">
        <f t="shared" si="14"/>
        <v>0</v>
      </c>
      <c r="AJ10" s="155">
        <f t="shared" si="15"/>
        <v>0</v>
      </c>
      <c r="AK10" s="155">
        <f t="shared" si="16"/>
        <v>0</v>
      </c>
      <c r="AM10" s="155">
        <f t="shared" si="17"/>
        <v>0</v>
      </c>
      <c r="AN10" s="155">
        <f t="shared" si="18"/>
        <v>0</v>
      </c>
      <c r="AO10" s="155">
        <f t="shared" si="19"/>
        <v>0</v>
      </c>
      <c r="AP10" s="155">
        <f t="shared" si="20"/>
        <v>0</v>
      </c>
      <c r="AQ10" s="155">
        <f t="shared" si="21"/>
        <v>0</v>
      </c>
      <c r="AR10" s="155">
        <f t="shared" si="22"/>
        <v>0</v>
      </c>
      <c r="AT10" s="155">
        <f t="shared" si="23"/>
        <v>0</v>
      </c>
      <c r="AU10" s="155">
        <f t="shared" si="24"/>
        <v>0</v>
      </c>
      <c r="AV10" s="155">
        <f t="shared" si="25"/>
        <v>0</v>
      </c>
      <c r="AW10" s="155">
        <f t="shared" si="26"/>
        <v>0</v>
      </c>
      <c r="AX10" s="155">
        <f t="shared" si="27"/>
        <v>0</v>
      </c>
      <c r="AY10" s="155">
        <f t="shared" si="28"/>
        <v>0</v>
      </c>
    </row>
    <row r="11" spans="1:51" ht="15.75">
      <c r="A11" s="19">
        <v>9</v>
      </c>
      <c r="B11" s="74"/>
      <c r="C11" s="74"/>
      <c r="D11" s="75"/>
      <c r="E11" s="74"/>
      <c r="F11" s="74"/>
      <c r="G11" s="58"/>
      <c r="H11" s="58"/>
      <c r="I11" s="58"/>
      <c r="J11" s="58"/>
      <c r="K11" s="58"/>
      <c r="L11" s="58"/>
      <c r="M11" s="198">
        <f t="shared" si="29"/>
        <v>0.6</v>
      </c>
      <c r="N11" s="194">
        <f t="shared" si="30"/>
        <v>0.2</v>
      </c>
      <c r="O11" s="195">
        <f t="shared" si="31"/>
        <v>0.2</v>
      </c>
      <c r="P11" s="200">
        <f t="shared" si="32"/>
        <v>0</v>
      </c>
      <c r="Q11" s="55">
        <f t="shared" si="0"/>
        <v>0</v>
      </c>
      <c r="R11" s="76"/>
      <c r="S11" s="136">
        <f t="shared" si="33"/>
        <v>0</v>
      </c>
      <c r="T11" s="136">
        <f t="shared" si="1"/>
        <v>0</v>
      </c>
      <c r="U11" s="136">
        <f t="shared" si="2"/>
        <v>0</v>
      </c>
      <c r="V11" s="136">
        <f t="shared" si="3"/>
        <v>0</v>
      </c>
      <c r="W11" s="155">
        <f t="shared" si="4"/>
        <v>0</v>
      </c>
      <c r="X11" s="136">
        <f t="shared" si="5"/>
        <v>0</v>
      </c>
      <c r="Z11" s="155">
        <f t="shared" si="6"/>
        <v>0</v>
      </c>
      <c r="AA11" s="155">
        <f t="shared" si="7"/>
        <v>0</v>
      </c>
      <c r="AB11" s="155">
        <f t="shared" si="8"/>
        <v>0</v>
      </c>
      <c r="AC11" s="155">
        <f t="shared" si="9"/>
        <v>0</v>
      </c>
      <c r="AD11" s="155">
        <f t="shared" si="10"/>
        <v>0</v>
      </c>
      <c r="AF11" s="155">
        <f t="shared" si="11"/>
        <v>0</v>
      </c>
      <c r="AG11" s="155">
        <f t="shared" si="12"/>
        <v>0</v>
      </c>
      <c r="AH11" s="155">
        <f t="shared" si="13"/>
        <v>0</v>
      </c>
      <c r="AI11" s="155">
        <f t="shared" si="14"/>
        <v>0</v>
      </c>
      <c r="AJ11" s="155">
        <f t="shared" si="15"/>
        <v>0</v>
      </c>
      <c r="AK11" s="155">
        <f t="shared" si="16"/>
        <v>0</v>
      </c>
      <c r="AM11" s="155">
        <f t="shared" si="17"/>
        <v>0</v>
      </c>
      <c r="AN11" s="155">
        <f t="shared" si="18"/>
        <v>0</v>
      </c>
      <c r="AO11" s="155">
        <f t="shared" si="19"/>
        <v>0</v>
      </c>
      <c r="AP11" s="155">
        <f t="shared" si="20"/>
        <v>0</v>
      </c>
      <c r="AQ11" s="155">
        <f t="shared" si="21"/>
        <v>0</v>
      </c>
      <c r="AR11" s="155">
        <f t="shared" si="22"/>
        <v>0</v>
      </c>
      <c r="AT11" s="155">
        <f t="shared" si="23"/>
        <v>0</v>
      </c>
      <c r="AU11" s="155">
        <f t="shared" si="24"/>
        <v>0</v>
      </c>
      <c r="AV11" s="155">
        <f t="shared" si="25"/>
        <v>0</v>
      </c>
      <c r="AW11" s="155">
        <f t="shared" si="26"/>
        <v>0</v>
      </c>
      <c r="AX11" s="155">
        <f t="shared" si="27"/>
        <v>0</v>
      </c>
      <c r="AY11" s="155">
        <f t="shared" si="28"/>
        <v>0</v>
      </c>
    </row>
    <row r="12" spans="1:51" ht="15.75">
      <c r="A12" s="19">
        <v>10</v>
      </c>
      <c r="B12" s="74"/>
      <c r="C12" s="74"/>
      <c r="D12" s="75"/>
      <c r="E12" s="74"/>
      <c r="F12" s="74"/>
      <c r="G12" s="58"/>
      <c r="H12" s="58"/>
      <c r="I12" s="58"/>
      <c r="J12" s="58"/>
      <c r="K12" s="58"/>
      <c r="L12" s="58"/>
      <c r="M12" s="198">
        <f t="shared" si="29"/>
        <v>0.6</v>
      </c>
      <c r="N12" s="194">
        <f t="shared" si="30"/>
        <v>0.2</v>
      </c>
      <c r="O12" s="195">
        <f t="shared" si="31"/>
        <v>0.2</v>
      </c>
      <c r="P12" s="200">
        <f t="shared" si="32"/>
        <v>0</v>
      </c>
      <c r="Q12" s="55">
        <f t="shared" si="0"/>
        <v>0</v>
      </c>
      <c r="R12" s="76"/>
      <c r="S12" s="136">
        <f t="shared" si="33"/>
        <v>0</v>
      </c>
      <c r="T12" s="136">
        <f>ROUND(IF($D12=1,S12,0),2)</f>
        <v>0</v>
      </c>
      <c r="U12" s="136">
        <f t="shared" si="2"/>
        <v>0</v>
      </c>
      <c r="V12" s="136">
        <f t="shared" si="3"/>
        <v>0</v>
      </c>
      <c r="W12" s="155">
        <f t="shared" si="4"/>
        <v>0</v>
      </c>
      <c r="X12" s="136">
        <f t="shared" si="5"/>
        <v>0</v>
      </c>
      <c r="Z12" s="155">
        <f t="shared" si="6"/>
        <v>0</v>
      </c>
      <c r="AA12" s="155">
        <f t="shared" si="7"/>
        <v>0</v>
      </c>
      <c r="AB12" s="155">
        <f t="shared" si="8"/>
        <v>0</v>
      </c>
      <c r="AC12" s="155">
        <f t="shared" si="9"/>
        <v>0</v>
      </c>
      <c r="AD12" s="155">
        <f t="shared" si="10"/>
        <v>0</v>
      </c>
      <c r="AF12" s="155">
        <f t="shared" si="11"/>
        <v>0</v>
      </c>
      <c r="AG12" s="155">
        <f t="shared" si="12"/>
        <v>0</v>
      </c>
      <c r="AH12" s="155">
        <f t="shared" si="13"/>
        <v>0</v>
      </c>
      <c r="AI12" s="155">
        <f t="shared" si="14"/>
        <v>0</v>
      </c>
      <c r="AJ12" s="155">
        <f t="shared" si="15"/>
        <v>0</v>
      </c>
      <c r="AK12" s="155">
        <f t="shared" si="16"/>
        <v>0</v>
      </c>
      <c r="AM12" s="155">
        <f t="shared" si="17"/>
        <v>0</v>
      </c>
      <c r="AN12" s="155">
        <f t="shared" si="18"/>
        <v>0</v>
      </c>
      <c r="AO12" s="155">
        <f t="shared" si="19"/>
        <v>0</v>
      </c>
      <c r="AP12" s="155">
        <f t="shared" si="20"/>
        <v>0</v>
      </c>
      <c r="AQ12" s="155">
        <f t="shared" si="21"/>
        <v>0</v>
      </c>
      <c r="AR12" s="155">
        <f t="shared" si="22"/>
        <v>0</v>
      </c>
      <c r="AT12" s="155">
        <f t="shared" si="23"/>
        <v>0</v>
      </c>
      <c r="AU12" s="155">
        <f t="shared" si="24"/>
        <v>0</v>
      </c>
      <c r="AV12" s="155">
        <f t="shared" si="25"/>
        <v>0</v>
      </c>
      <c r="AW12" s="155">
        <f t="shared" si="26"/>
        <v>0</v>
      </c>
      <c r="AX12" s="155">
        <f t="shared" si="27"/>
        <v>0</v>
      </c>
      <c r="AY12" s="155">
        <f t="shared" si="28"/>
        <v>0</v>
      </c>
    </row>
    <row r="13" spans="1:51" ht="15.75">
      <c r="A13" s="19">
        <v>11</v>
      </c>
      <c r="B13" s="74"/>
      <c r="C13" s="74"/>
      <c r="D13" s="75"/>
      <c r="E13" s="74"/>
      <c r="F13" s="74"/>
      <c r="G13" s="58"/>
      <c r="H13" s="58"/>
      <c r="I13" s="58"/>
      <c r="J13" s="58"/>
      <c r="K13" s="58"/>
      <c r="L13" s="58"/>
      <c r="M13" s="198">
        <f t="shared" si="29"/>
        <v>0.6</v>
      </c>
      <c r="N13" s="194">
        <f t="shared" si="30"/>
        <v>0.2</v>
      </c>
      <c r="O13" s="195">
        <f t="shared" si="31"/>
        <v>0.2</v>
      </c>
      <c r="P13" s="200">
        <f t="shared" si="32"/>
        <v>0</v>
      </c>
      <c r="Q13" s="55">
        <f t="shared" si="0"/>
        <v>0</v>
      </c>
      <c r="R13" s="76"/>
      <c r="S13" s="136">
        <f t="shared" si="33"/>
        <v>0</v>
      </c>
      <c r="T13" s="136">
        <f t="shared" si="1"/>
        <v>0</v>
      </c>
      <c r="U13" s="136">
        <f t="shared" si="2"/>
        <v>0</v>
      </c>
      <c r="V13" s="136">
        <f t="shared" si="3"/>
        <v>0</v>
      </c>
      <c r="W13" s="155">
        <f t="shared" si="4"/>
        <v>0</v>
      </c>
      <c r="X13" s="136">
        <f t="shared" si="5"/>
        <v>0</v>
      </c>
      <c r="Z13" s="155">
        <f t="shared" si="6"/>
        <v>0</v>
      </c>
      <c r="AA13" s="155">
        <f t="shared" si="7"/>
        <v>0</v>
      </c>
      <c r="AB13" s="155">
        <f t="shared" si="8"/>
        <v>0</v>
      </c>
      <c r="AC13" s="155">
        <f t="shared" si="9"/>
        <v>0</v>
      </c>
      <c r="AD13" s="155">
        <f t="shared" si="10"/>
        <v>0</v>
      </c>
      <c r="AF13" s="155">
        <f t="shared" si="11"/>
        <v>0</v>
      </c>
      <c r="AG13" s="155">
        <f t="shared" si="12"/>
        <v>0</v>
      </c>
      <c r="AH13" s="155">
        <f t="shared" si="13"/>
        <v>0</v>
      </c>
      <c r="AI13" s="155">
        <f t="shared" si="14"/>
        <v>0</v>
      </c>
      <c r="AJ13" s="155">
        <f t="shared" si="15"/>
        <v>0</v>
      </c>
      <c r="AK13" s="155">
        <f t="shared" si="16"/>
        <v>0</v>
      </c>
      <c r="AM13" s="155">
        <f t="shared" si="17"/>
        <v>0</v>
      </c>
      <c r="AN13" s="155">
        <f t="shared" si="18"/>
        <v>0</v>
      </c>
      <c r="AO13" s="155">
        <f t="shared" si="19"/>
        <v>0</v>
      </c>
      <c r="AP13" s="155">
        <f t="shared" si="20"/>
        <v>0</v>
      </c>
      <c r="AQ13" s="155">
        <f t="shared" si="21"/>
        <v>0</v>
      </c>
      <c r="AR13" s="155">
        <f t="shared" si="22"/>
        <v>0</v>
      </c>
      <c r="AT13" s="155">
        <f t="shared" si="23"/>
        <v>0</v>
      </c>
      <c r="AU13" s="155">
        <f t="shared" si="24"/>
        <v>0</v>
      </c>
      <c r="AV13" s="155">
        <f t="shared" si="25"/>
        <v>0</v>
      </c>
      <c r="AW13" s="155">
        <f t="shared" si="26"/>
        <v>0</v>
      </c>
      <c r="AX13" s="155">
        <f t="shared" si="27"/>
        <v>0</v>
      </c>
      <c r="AY13" s="155">
        <f t="shared" si="28"/>
        <v>0</v>
      </c>
    </row>
    <row r="14" spans="1:51" ht="15.75">
      <c r="A14" s="19">
        <v>12</v>
      </c>
      <c r="B14" s="74"/>
      <c r="C14" s="74"/>
      <c r="D14" s="75"/>
      <c r="E14" s="74"/>
      <c r="F14" s="74"/>
      <c r="G14" s="58"/>
      <c r="H14" s="58"/>
      <c r="I14" s="58"/>
      <c r="J14" s="58"/>
      <c r="K14" s="58"/>
      <c r="L14" s="58"/>
      <c r="M14" s="198">
        <f t="shared" si="29"/>
        <v>0.6</v>
      </c>
      <c r="N14" s="194">
        <f t="shared" si="30"/>
        <v>0.2</v>
      </c>
      <c r="O14" s="195">
        <f t="shared" si="31"/>
        <v>0.2</v>
      </c>
      <c r="P14" s="200">
        <f t="shared" si="32"/>
        <v>0</v>
      </c>
      <c r="Q14" s="55">
        <f t="shared" si="0"/>
        <v>0</v>
      </c>
      <c r="R14" s="76"/>
      <c r="S14" s="136">
        <f t="shared" si="33"/>
        <v>0</v>
      </c>
      <c r="T14" s="136">
        <f t="shared" si="1"/>
        <v>0</v>
      </c>
      <c r="U14" s="136">
        <f t="shared" si="2"/>
        <v>0</v>
      </c>
      <c r="V14" s="136">
        <f t="shared" si="3"/>
        <v>0</v>
      </c>
      <c r="W14" s="155">
        <f t="shared" si="4"/>
        <v>0</v>
      </c>
      <c r="X14" s="136">
        <f t="shared" si="5"/>
        <v>0</v>
      </c>
      <c r="Z14" s="155">
        <f t="shared" si="6"/>
        <v>0</v>
      </c>
      <c r="AA14" s="155">
        <f t="shared" si="7"/>
        <v>0</v>
      </c>
      <c r="AB14" s="155">
        <f t="shared" si="8"/>
        <v>0</v>
      </c>
      <c r="AC14" s="155">
        <f t="shared" si="9"/>
        <v>0</v>
      </c>
      <c r="AD14" s="155">
        <f t="shared" si="10"/>
        <v>0</v>
      </c>
      <c r="AF14" s="155">
        <f t="shared" si="11"/>
        <v>0</v>
      </c>
      <c r="AG14" s="155">
        <f t="shared" si="12"/>
        <v>0</v>
      </c>
      <c r="AH14" s="155">
        <f t="shared" si="13"/>
        <v>0</v>
      </c>
      <c r="AI14" s="155">
        <f t="shared" si="14"/>
        <v>0</v>
      </c>
      <c r="AJ14" s="155">
        <f t="shared" si="15"/>
        <v>0</v>
      </c>
      <c r="AK14" s="155">
        <f t="shared" si="16"/>
        <v>0</v>
      </c>
      <c r="AM14" s="155">
        <f t="shared" si="17"/>
        <v>0</v>
      </c>
      <c r="AN14" s="155">
        <f t="shared" si="18"/>
        <v>0</v>
      </c>
      <c r="AO14" s="155">
        <f t="shared" si="19"/>
        <v>0</v>
      </c>
      <c r="AP14" s="155">
        <f t="shared" si="20"/>
        <v>0</v>
      </c>
      <c r="AQ14" s="155">
        <f t="shared" si="21"/>
        <v>0</v>
      </c>
      <c r="AR14" s="155">
        <f t="shared" si="22"/>
        <v>0</v>
      </c>
      <c r="AT14" s="155">
        <f t="shared" si="23"/>
        <v>0</v>
      </c>
      <c r="AU14" s="155">
        <f t="shared" si="24"/>
        <v>0</v>
      </c>
      <c r="AV14" s="155">
        <f t="shared" si="25"/>
        <v>0</v>
      </c>
      <c r="AW14" s="155">
        <f t="shared" si="26"/>
        <v>0</v>
      </c>
      <c r="AX14" s="155">
        <f t="shared" si="27"/>
        <v>0</v>
      </c>
      <c r="AY14" s="155">
        <f t="shared" si="28"/>
        <v>0</v>
      </c>
    </row>
    <row r="15" spans="1:51" ht="15.75">
      <c r="A15" s="19">
        <v>13</v>
      </c>
      <c r="B15" s="74"/>
      <c r="C15" s="74"/>
      <c r="D15" s="75"/>
      <c r="E15" s="74"/>
      <c r="F15" s="74"/>
      <c r="G15" s="58"/>
      <c r="H15" s="58"/>
      <c r="I15" s="58"/>
      <c r="J15" s="58"/>
      <c r="K15" s="58"/>
      <c r="L15" s="58"/>
      <c r="M15" s="198">
        <f t="shared" si="29"/>
        <v>0.6</v>
      </c>
      <c r="N15" s="194">
        <f t="shared" si="30"/>
        <v>0.2</v>
      </c>
      <c r="O15" s="195">
        <f t="shared" si="31"/>
        <v>0.2</v>
      </c>
      <c r="P15" s="200">
        <f t="shared" si="32"/>
        <v>0</v>
      </c>
      <c r="Q15" s="55">
        <f t="shared" si="0"/>
        <v>0</v>
      </c>
      <c r="R15" s="76"/>
      <c r="S15" s="136">
        <f t="shared" si="33"/>
        <v>0</v>
      </c>
      <c r="T15" s="136">
        <f t="shared" si="1"/>
        <v>0</v>
      </c>
      <c r="U15" s="136">
        <f t="shared" si="2"/>
        <v>0</v>
      </c>
      <c r="V15" s="136">
        <f t="shared" si="3"/>
        <v>0</v>
      </c>
      <c r="W15" s="155">
        <f t="shared" si="4"/>
        <v>0</v>
      </c>
      <c r="X15" s="136">
        <f t="shared" si="5"/>
        <v>0</v>
      </c>
      <c r="Z15" s="155">
        <f t="shared" si="6"/>
        <v>0</v>
      </c>
      <c r="AA15" s="155">
        <f t="shared" si="7"/>
        <v>0</v>
      </c>
      <c r="AB15" s="155">
        <f t="shared" si="8"/>
        <v>0</v>
      </c>
      <c r="AC15" s="155">
        <f t="shared" si="9"/>
        <v>0</v>
      </c>
      <c r="AD15" s="155">
        <f t="shared" si="10"/>
        <v>0</v>
      </c>
      <c r="AF15" s="155">
        <f t="shared" si="11"/>
        <v>0</v>
      </c>
      <c r="AG15" s="155">
        <f t="shared" si="12"/>
        <v>0</v>
      </c>
      <c r="AH15" s="155">
        <f t="shared" si="13"/>
        <v>0</v>
      </c>
      <c r="AI15" s="155">
        <f t="shared" si="14"/>
        <v>0</v>
      </c>
      <c r="AJ15" s="155">
        <f t="shared" si="15"/>
        <v>0</v>
      </c>
      <c r="AK15" s="155">
        <f t="shared" si="16"/>
        <v>0</v>
      </c>
      <c r="AM15" s="155">
        <f t="shared" si="17"/>
        <v>0</v>
      </c>
      <c r="AN15" s="155">
        <f t="shared" si="18"/>
        <v>0</v>
      </c>
      <c r="AO15" s="155">
        <f t="shared" si="19"/>
        <v>0</v>
      </c>
      <c r="AP15" s="155">
        <f t="shared" si="20"/>
        <v>0</v>
      </c>
      <c r="AQ15" s="155">
        <f t="shared" si="21"/>
        <v>0</v>
      </c>
      <c r="AR15" s="155">
        <f t="shared" si="22"/>
        <v>0</v>
      </c>
      <c r="AT15" s="155">
        <f t="shared" si="23"/>
        <v>0</v>
      </c>
      <c r="AU15" s="155">
        <f t="shared" si="24"/>
        <v>0</v>
      </c>
      <c r="AV15" s="155">
        <f t="shared" si="25"/>
        <v>0</v>
      </c>
      <c r="AW15" s="155">
        <f t="shared" si="26"/>
        <v>0</v>
      </c>
      <c r="AX15" s="155">
        <f t="shared" si="27"/>
        <v>0</v>
      </c>
      <c r="AY15" s="155">
        <f t="shared" si="28"/>
        <v>0</v>
      </c>
    </row>
    <row r="16" spans="1:51" ht="15.75">
      <c r="A16" s="19">
        <v>14</v>
      </c>
      <c r="B16" s="74"/>
      <c r="C16" s="74"/>
      <c r="D16" s="75"/>
      <c r="E16" s="74"/>
      <c r="F16" s="74"/>
      <c r="G16" s="58"/>
      <c r="H16" s="58"/>
      <c r="I16" s="58"/>
      <c r="J16" s="58"/>
      <c r="K16" s="58"/>
      <c r="L16" s="58"/>
      <c r="M16" s="198">
        <f t="shared" si="29"/>
        <v>0.6</v>
      </c>
      <c r="N16" s="194">
        <f t="shared" si="30"/>
        <v>0.2</v>
      </c>
      <c r="O16" s="195">
        <f t="shared" si="31"/>
        <v>0.2</v>
      </c>
      <c r="P16" s="200">
        <f t="shared" si="32"/>
        <v>0</v>
      </c>
      <c r="Q16" s="55">
        <f t="shared" si="0"/>
        <v>0</v>
      </c>
      <c r="R16" s="76"/>
      <c r="S16" s="136">
        <f t="shared" si="33"/>
        <v>0</v>
      </c>
      <c r="T16" s="136">
        <f t="shared" si="1"/>
        <v>0</v>
      </c>
      <c r="U16" s="136">
        <f t="shared" si="2"/>
        <v>0</v>
      </c>
      <c r="V16" s="136">
        <f t="shared" si="3"/>
        <v>0</v>
      </c>
      <c r="W16" s="155">
        <f t="shared" si="4"/>
        <v>0</v>
      </c>
      <c r="X16" s="136">
        <f t="shared" si="5"/>
        <v>0</v>
      </c>
      <c r="Z16" s="155">
        <f t="shared" si="6"/>
        <v>0</v>
      </c>
      <c r="AA16" s="155">
        <f t="shared" si="7"/>
        <v>0</v>
      </c>
      <c r="AB16" s="155">
        <f t="shared" si="8"/>
        <v>0</v>
      </c>
      <c r="AC16" s="155">
        <f t="shared" si="9"/>
        <v>0</v>
      </c>
      <c r="AD16" s="155">
        <f t="shared" si="10"/>
        <v>0</v>
      </c>
      <c r="AF16" s="155">
        <f t="shared" si="11"/>
        <v>0</v>
      </c>
      <c r="AG16" s="155">
        <f t="shared" si="12"/>
        <v>0</v>
      </c>
      <c r="AH16" s="155">
        <f t="shared" si="13"/>
        <v>0</v>
      </c>
      <c r="AI16" s="155">
        <f t="shared" si="14"/>
        <v>0</v>
      </c>
      <c r="AJ16" s="155">
        <f t="shared" si="15"/>
        <v>0</v>
      </c>
      <c r="AK16" s="155">
        <f t="shared" si="16"/>
        <v>0</v>
      </c>
      <c r="AM16" s="155">
        <f t="shared" si="17"/>
        <v>0</v>
      </c>
      <c r="AN16" s="155">
        <f t="shared" si="18"/>
        <v>0</v>
      </c>
      <c r="AO16" s="155">
        <f t="shared" si="19"/>
        <v>0</v>
      </c>
      <c r="AP16" s="155">
        <f t="shared" si="20"/>
        <v>0</v>
      </c>
      <c r="AQ16" s="155">
        <f t="shared" si="21"/>
        <v>0</v>
      </c>
      <c r="AR16" s="155">
        <f t="shared" si="22"/>
        <v>0</v>
      </c>
      <c r="AT16" s="155">
        <f t="shared" si="23"/>
        <v>0</v>
      </c>
      <c r="AU16" s="155">
        <f t="shared" si="24"/>
        <v>0</v>
      </c>
      <c r="AV16" s="155">
        <f t="shared" si="25"/>
        <v>0</v>
      </c>
      <c r="AW16" s="155">
        <f t="shared" si="26"/>
        <v>0</v>
      </c>
      <c r="AX16" s="155">
        <f t="shared" si="27"/>
        <v>0</v>
      </c>
      <c r="AY16" s="155">
        <f t="shared" si="28"/>
        <v>0</v>
      </c>
    </row>
    <row r="17" spans="1:51" ht="15.75">
      <c r="A17" s="19">
        <v>15</v>
      </c>
      <c r="B17" s="74"/>
      <c r="C17" s="74"/>
      <c r="D17" s="75"/>
      <c r="E17" s="74"/>
      <c r="F17" s="74"/>
      <c r="G17" s="58"/>
      <c r="H17" s="58"/>
      <c r="I17" s="58"/>
      <c r="J17" s="58"/>
      <c r="K17" s="58"/>
      <c r="L17" s="58"/>
      <c r="M17" s="198">
        <f t="shared" si="29"/>
        <v>0.6</v>
      </c>
      <c r="N17" s="194">
        <f t="shared" si="30"/>
        <v>0.2</v>
      </c>
      <c r="O17" s="195">
        <f t="shared" si="31"/>
        <v>0.2</v>
      </c>
      <c r="P17" s="200">
        <f t="shared" si="32"/>
        <v>0</v>
      </c>
      <c r="Q17" s="55">
        <f t="shared" si="0"/>
        <v>0</v>
      </c>
      <c r="R17" s="76"/>
      <c r="S17" s="136">
        <f t="shared" si="33"/>
        <v>0</v>
      </c>
      <c r="T17" s="136">
        <f t="shared" si="1"/>
        <v>0</v>
      </c>
      <c r="U17" s="136">
        <f t="shared" si="2"/>
        <v>0</v>
      </c>
      <c r="V17" s="136">
        <f t="shared" si="3"/>
        <v>0</v>
      </c>
      <c r="W17" s="155">
        <f t="shared" si="4"/>
        <v>0</v>
      </c>
      <c r="X17" s="136">
        <f t="shared" si="5"/>
        <v>0</v>
      </c>
      <c r="Z17" s="155">
        <f t="shared" si="6"/>
        <v>0</v>
      </c>
      <c r="AA17" s="155">
        <f t="shared" si="7"/>
        <v>0</v>
      </c>
      <c r="AB17" s="155">
        <f t="shared" si="8"/>
        <v>0</v>
      </c>
      <c r="AC17" s="155">
        <f t="shared" si="9"/>
        <v>0</v>
      </c>
      <c r="AD17" s="155">
        <f t="shared" si="10"/>
        <v>0</v>
      </c>
      <c r="AF17" s="155">
        <f t="shared" si="11"/>
        <v>0</v>
      </c>
      <c r="AG17" s="155">
        <f t="shared" si="12"/>
        <v>0</v>
      </c>
      <c r="AH17" s="155">
        <f t="shared" si="13"/>
        <v>0</v>
      </c>
      <c r="AI17" s="155">
        <f t="shared" si="14"/>
        <v>0</v>
      </c>
      <c r="AJ17" s="155">
        <f t="shared" si="15"/>
        <v>0</v>
      </c>
      <c r="AK17" s="155">
        <f t="shared" si="16"/>
        <v>0</v>
      </c>
      <c r="AM17" s="155">
        <f t="shared" si="17"/>
        <v>0</v>
      </c>
      <c r="AN17" s="155">
        <f t="shared" si="18"/>
        <v>0</v>
      </c>
      <c r="AO17" s="155">
        <f t="shared" si="19"/>
        <v>0</v>
      </c>
      <c r="AP17" s="155">
        <f t="shared" si="20"/>
        <v>0</v>
      </c>
      <c r="AQ17" s="155">
        <f t="shared" si="21"/>
        <v>0</v>
      </c>
      <c r="AR17" s="155">
        <f t="shared" si="22"/>
        <v>0</v>
      </c>
      <c r="AT17" s="155">
        <f t="shared" si="23"/>
        <v>0</v>
      </c>
      <c r="AU17" s="155">
        <f t="shared" si="24"/>
        <v>0</v>
      </c>
      <c r="AV17" s="155">
        <f t="shared" si="25"/>
        <v>0</v>
      </c>
      <c r="AW17" s="155">
        <f t="shared" si="26"/>
        <v>0</v>
      </c>
      <c r="AX17" s="155">
        <f t="shared" si="27"/>
        <v>0</v>
      </c>
      <c r="AY17" s="155">
        <f t="shared" si="28"/>
        <v>0</v>
      </c>
    </row>
    <row r="18" spans="1:51" ht="15.75">
      <c r="A18" s="19">
        <v>16</v>
      </c>
      <c r="B18" s="74"/>
      <c r="C18" s="74"/>
      <c r="D18" s="75"/>
      <c r="E18" s="74"/>
      <c r="F18" s="74"/>
      <c r="G18" s="58"/>
      <c r="H18" s="58"/>
      <c r="I18" s="58"/>
      <c r="J18" s="58"/>
      <c r="K18" s="58"/>
      <c r="L18" s="58"/>
      <c r="M18" s="198">
        <f t="shared" si="29"/>
        <v>0.6</v>
      </c>
      <c r="N18" s="194">
        <f t="shared" si="30"/>
        <v>0.2</v>
      </c>
      <c r="O18" s="195">
        <f t="shared" si="31"/>
        <v>0.2</v>
      </c>
      <c r="P18" s="200">
        <f t="shared" si="32"/>
        <v>0</v>
      </c>
      <c r="Q18" s="55">
        <f t="shared" si="0"/>
        <v>0</v>
      </c>
      <c r="R18" s="76"/>
      <c r="S18" s="136">
        <f t="shared" si="33"/>
        <v>0</v>
      </c>
      <c r="T18" s="136">
        <f t="shared" si="1"/>
        <v>0</v>
      </c>
      <c r="U18" s="136">
        <f t="shared" si="2"/>
        <v>0</v>
      </c>
      <c r="V18" s="136">
        <f t="shared" si="3"/>
        <v>0</v>
      </c>
      <c r="W18" s="155">
        <f t="shared" si="4"/>
        <v>0</v>
      </c>
      <c r="X18" s="136">
        <f t="shared" si="5"/>
        <v>0</v>
      </c>
      <c r="Z18" s="155">
        <f t="shared" si="6"/>
        <v>0</v>
      </c>
      <c r="AA18" s="155">
        <f t="shared" si="7"/>
        <v>0</v>
      </c>
      <c r="AB18" s="155">
        <f t="shared" si="8"/>
        <v>0</v>
      </c>
      <c r="AC18" s="155">
        <f t="shared" si="9"/>
        <v>0</v>
      </c>
      <c r="AD18" s="155">
        <f t="shared" si="10"/>
        <v>0</v>
      </c>
      <c r="AF18" s="155">
        <f t="shared" si="11"/>
        <v>0</v>
      </c>
      <c r="AG18" s="155">
        <f t="shared" si="12"/>
        <v>0</v>
      </c>
      <c r="AH18" s="155">
        <f t="shared" si="13"/>
        <v>0</v>
      </c>
      <c r="AI18" s="155">
        <f t="shared" si="14"/>
        <v>0</v>
      </c>
      <c r="AJ18" s="155">
        <f t="shared" si="15"/>
        <v>0</v>
      </c>
      <c r="AK18" s="155">
        <f t="shared" si="16"/>
        <v>0</v>
      </c>
      <c r="AM18" s="155">
        <f t="shared" si="17"/>
        <v>0</v>
      </c>
      <c r="AN18" s="155">
        <f t="shared" si="18"/>
        <v>0</v>
      </c>
      <c r="AO18" s="155">
        <f t="shared" si="19"/>
        <v>0</v>
      </c>
      <c r="AP18" s="155">
        <f t="shared" si="20"/>
        <v>0</v>
      </c>
      <c r="AQ18" s="155">
        <f t="shared" si="21"/>
        <v>0</v>
      </c>
      <c r="AR18" s="155">
        <f t="shared" si="22"/>
        <v>0</v>
      </c>
      <c r="AT18" s="155">
        <f t="shared" si="23"/>
        <v>0</v>
      </c>
      <c r="AU18" s="155">
        <f t="shared" si="24"/>
        <v>0</v>
      </c>
      <c r="AV18" s="155">
        <f t="shared" si="25"/>
        <v>0</v>
      </c>
      <c r="AW18" s="155">
        <f t="shared" si="26"/>
        <v>0</v>
      </c>
      <c r="AX18" s="155">
        <f t="shared" si="27"/>
        <v>0</v>
      </c>
      <c r="AY18" s="155">
        <f t="shared" si="28"/>
        <v>0</v>
      </c>
    </row>
    <row r="19" spans="1:51" ht="15.75">
      <c r="A19" s="19">
        <v>17</v>
      </c>
      <c r="B19" s="74"/>
      <c r="C19" s="74"/>
      <c r="D19" s="75"/>
      <c r="E19" s="74"/>
      <c r="F19" s="74"/>
      <c r="G19" s="58"/>
      <c r="H19" s="58"/>
      <c r="I19" s="58"/>
      <c r="J19" s="58"/>
      <c r="K19" s="58"/>
      <c r="L19" s="58"/>
      <c r="M19" s="198">
        <f t="shared" si="29"/>
        <v>0.6</v>
      </c>
      <c r="N19" s="194">
        <f t="shared" si="30"/>
        <v>0.2</v>
      </c>
      <c r="O19" s="195">
        <f t="shared" si="31"/>
        <v>0.2</v>
      </c>
      <c r="P19" s="200">
        <f t="shared" si="32"/>
        <v>0</v>
      </c>
      <c r="Q19" s="55">
        <f t="shared" si="0"/>
        <v>0</v>
      </c>
      <c r="R19" s="76"/>
      <c r="S19" s="136">
        <f t="shared" si="33"/>
        <v>0</v>
      </c>
      <c r="T19" s="136">
        <f t="shared" si="1"/>
        <v>0</v>
      </c>
      <c r="U19" s="136">
        <f t="shared" si="2"/>
        <v>0</v>
      </c>
      <c r="V19" s="136">
        <f t="shared" si="3"/>
        <v>0</v>
      </c>
      <c r="W19" s="155">
        <f t="shared" si="4"/>
        <v>0</v>
      </c>
      <c r="X19" s="136">
        <f t="shared" si="5"/>
        <v>0</v>
      </c>
      <c r="Z19" s="155">
        <f t="shared" si="6"/>
        <v>0</v>
      </c>
      <c r="AA19" s="155">
        <f t="shared" si="7"/>
        <v>0</v>
      </c>
      <c r="AB19" s="155">
        <f t="shared" si="8"/>
        <v>0</v>
      </c>
      <c r="AC19" s="155">
        <f t="shared" si="9"/>
        <v>0</v>
      </c>
      <c r="AD19" s="155">
        <f t="shared" si="10"/>
        <v>0</v>
      </c>
      <c r="AF19" s="155">
        <f t="shared" si="11"/>
        <v>0</v>
      </c>
      <c r="AG19" s="155">
        <f t="shared" si="12"/>
        <v>0</v>
      </c>
      <c r="AH19" s="155">
        <f t="shared" si="13"/>
        <v>0</v>
      </c>
      <c r="AI19" s="155">
        <f t="shared" si="14"/>
        <v>0</v>
      </c>
      <c r="AJ19" s="155">
        <f t="shared" si="15"/>
        <v>0</v>
      </c>
      <c r="AK19" s="155">
        <f t="shared" si="16"/>
        <v>0</v>
      </c>
      <c r="AM19" s="155">
        <f t="shared" si="17"/>
        <v>0</v>
      </c>
      <c r="AN19" s="155">
        <f t="shared" si="18"/>
        <v>0</v>
      </c>
      <c r="AO19" s="155">
        <f t="shared" si="19"/>
        <v>0</v>
      </c>
      <c r="AP19" s="155">
        <f t="shared" si="20"/>
        <v>0</v>
      </c>
      <c r="AQ19" s="155">
        <f t="shared" si="21"/>
        <v>0</v>
      </c>
      <c r="AR19" s="155">
        <f t="shared" si="22"/>
        <v>0</v>
      </c>
      <c r="AT19" s="155">
        <f t="shared" si="23"/>
        <v>0</v>
      </c>
      <c r="AU19" s="155">
        <f t="shared" si="24"/>
        <v>0</v>
      </c>
      <c r="AV19" s="155">
        <f t="shared" si="25"/>
        <v>0</v>
      </c>
      <c r="AW19" s="155">
        <f t="shared" si="26"/>
        <v>0</v>
      </c>
      <c r="AX19" s="155">
        <f t="shared" si="27"/>
        <v>0</v>
      </c>
      <c r="AY19" s="155">
        <f t="shared" si="28"/>
        <v>0</v>
      </c>
    </row>
    <row r="20" spans="1:51" ht="15.75">
      <c r="A20" s="19">
        <v>18</v>
      </c>
      <c r="B20" s="74"/>
      <c r="C20" s="74"/>
      <c r="D20" s="75"/>
      <c r="E20" s="74"/>
      <c r="F20" s="74"/>
      <c r="G20" s="58"/>
      <c r="H20" s="58"/>
      <c r="I20" s="58"/>
      <c r="J20" s="58"/>
      <c r="K20" s="58"/>
      <c r="L20" s="58"/>
      <c r="M20" s="198">
        <f t="shared" si="29"/>
        <v>0.6</v>
      </c>
      <c r="N20" s="194">
        <f t="shared" si="30"/>
        <v>0.2</v>
      </c>
      <c r="O20" s="195">
        <f t="shared" si="31"/>
        <v>0.2</v>
      </c>
      <c r="P20" s="200">
        <f t="shared" si="32"/>
        <v>0</v>
      </c>
      <c r="Q20" s="55">
        <f t="shared" si="0"/>
        <v>0</v>
      </c>
      <c r="R20" s="76"/>
      <c r="S20" s="136">
        <f t="shared" si="33"/>
        <v>0</v>
      </c>
      <c r="T20" s="136">
        <f t="shared" si="1"/>
        <v>0</v>
      </c>
      <c r="U20" s="136">
        <f t="shared" si="2"/>
        <v>0</v>
      </c>
      <c r="V20" s="136">
        <f t="shared" si="3"/>
        <v>0</v>
      </c>
      <c r="W20" s="155">
        <f t="shared" si="4"/>
        <v>0</v>
      </c>
      <c r="X20" s="136">
        <f t="shared" si="5"/>
        <v>0</v>
      </c>
      <c r="Z20" s="155">
        <f t="shared" si="6"/>
        <v>0</v>
      </c>
      <c r="AA20" s="155">
        <f t="shared" si="7"/>
        <v>0</v>
      </c>
      <c r="AB20" s="155">
        <f t="shared" si="8"/>
        <v>0</v>
      </c>
      <c r="AC20" s="155">
        <f t="shared" si="9"/>
        <v>0</v>
      </c>
      <c r="AD20" s="155">
        <f t="shared" si="10"/>
        <v>0</v>
      </c>
      <c r="AF20" s="155">
        <f t="shared" si="11"/>
        <v>0</v>
      </c>
      <c r="AG20" s="155">
        <f t="shared" si="12"/>
        <v>0</v>
      </c>
      <c r="AH20" s="155">
        <f t="shared" si="13"/>
        <v>0</v>
      </c>
      <c r="AI20" s="155">
        <f t="shared" si="14"/>
        <v>0</v>
      </c>
      <c r="AJ20" s="155">
        <f t="shared" si="15"/>
        <v>0</v>
      </c>
      <c r="AK20" s="155">
        <f t="shared" si="16"/>
        <v>0</v>
      </c>
      <c r="AM20" s="155">
        <f t="shared" si="17"/>
        <v>0</v>
      </c>
      <c r="AN20" s="155">
        <f t="shared" si="18"/>
        <v>0</v>
      </c>
      <c r="AO20" s="155">
        <f t="shared" si="19"/>
        <v>0</v>
      </c>
      <c r="AP20" s="155">
        <f t="shared" si="20"/>
        <v>0</v>
      </c>
      <c r="AQ20" s="155">
        <f t="shared" si="21"/>
        <v>0</v>
      </c>
      <c r="AR20" s="155">
        <f t="shared" si="22"/>
        <v>0</v>
      </c>
      <c r="AT20" s="155">
        <f t="shared" si="23"/>
        <v>0</v>
      </c>
      <c r="AU20" s="155">
        <f t="shared" si="24"/>
        <v>0</v>
      </c>
      <c r="AV20" s="155">
        <f t="shared" si="25"/>
        <v>0</v>
      </c>
      <c r="AW20" s="155">
        <f t="shared" si="26"/>
        <v>0</v>
      </c>
      <c r="AX20" s="155">
        <f t="shared" si="27"/>
        <v>0</v>
      </c>
      <c r="AY20" s="155">
        <f t="shared" si="28"/>
        <v>0</v>
      </c>
    </row>
    <row r="21" spans="1:51" ht="15.75">
      <c r="A21" s="19">
        <v>19</v>
      </c>
      <c r="B21" s="74"/>
      <c r="C21" s="74"/>
      <c r="D21" s="77"/>
      <c r="E21" s="74"/>
      <c r="F21" s="74"/>
      <c r="G21" s="58"/>
      <c r="H21" s="58"/>
      <c r="I21" s="58"/>
      <c r="J21" s="58"/>
      <c r="K21" s="58"/>
      <c r="L21" s="58"/>
      <c r="M21" s="198">
        <f t="shared" si="29"/>
        <v>0.6</v>
      </c>
      <c r="N21" s="194">
        <f t="shared" si="30"/>
        <v>0.2</v>
      </c>
      <c r="O21" s="195">
        <f t="shared" si="31"/>
        <v>0.2</v>
      </c>
      <c r="P21" s="200">
        <f t="shared" si="32"/>
        <v>0</v>
      </c>
      <c r="Q21" s="55">
        <f t="shared" si="0"/>
        <v>0</v>
      </c>
      <c r="R21" s="76"/>
      <c r="S21" s="136">
        <f t="shared" si="33"/>
        <v>0</v>
      </c>
      <c r="T21" s="136">
        <f t="shared" si="1"/>
        <v>0</v>
      </c>
      <c r="U21" s="136">
        <f t="shared" si="2"/>
        <v>0</v>
      </c>
      <c r="V21" s="136">
        <f t="shared" si="3"/>
        <v>0</v>
      </c>
      <c r="W21" s="155">
        <f t="shared" si="4"/>
        <v>0</v>
      </c>
      <c r="X21" s="136">
        <f t="shared" si="5"/>
        <v>0</v>
      </c>
      <c r="Z21" s="155">
        <f t="shared" si="6"/>
        <v>0</v>
      </c>
      <c r="AA21" s="155">
        <f t="shared" si="7"/>
        <v>0</v>
      </c>
      <c r="AB21" s="155">
        <f t="shared" si="8"/>
        <v>0</v>
      </c>
      <c r="AC21" s="155">
        <f t="shared" si="9"/>
        <v>0</v>
      </c>
      <c r="AD21" s="155">
        <f t="shared" si="10"/>
        <v>0</v>
      </c>
      <c r="AF21" s="155">
        <f t="shared" si="11"/>
        <v>0</v>
      </c>
      <c r="AG21" s="155">
        <f t="shared" si="12"/>
        <v>0</v>
      </c>
      <c r="AH21" s="155">
        <f t="shared" si="13"/>
        <v>0</v>
      </c>
      <c r="AI21" s="155">
        <f t="shared" si="14"/>
        <v>0</v>
      </c>
      <c r="AJ21" s="155">
        <f t="shared" si="15"/>
        <v>0</v>
      </c>
      <c r="AK21" s="155">
        <f t="shared" si="16"/>
        <v>0</v>
      </c>
      <c r="AM21" s="155">
        <f t="shared" si="17"/>
        <v>0</v>
      </c>
      <c r="AN21" s="155">
        <f t="shared" si="18"/>
        <v>0</v>
      </c>
      <c r="AO21" s="155">
        <f t="shared" si="19"/>
        <v>0</v>
      </c>
      <c r="AP21" s="155">
        <f t="shared" si="20"/>
        <v>0</v>
      </c>
      <c r="AQ21" s="155">
        <f t="shared" si="21"/>
        <v>0</v>
      </c>
      <c r="AR21" s="155">
        <f t="shared" si="22"/>
        <v>0</v>
      </c>
      <c r="AT21" s="155">
        <f t="shared" si="23"/>
        <v>0</v>
      </c>
      <c r="AU21" s="155">
        <f t="shared" si="24"/>
        <v>0</v>
      </c>
      <c r="AV21" s="155">
        <f t="shared" si="25"/>
        <v>0</v>
      </c>
      <c r="AW21" s="155">
        <f t="shared" si="26"/>
        <v>0</v>
      </c>
      <c r="AX21" s="155">
        <f t="shared" si="27"/>
        <v>0</v>
      </c>
      <c r="AY21" s="155">
        <f t="shared" si="28"/>
        <v>0</v>
      </c>
    </row>
    <row r="22" spans="1:51" ht="15.75">
      <c r="A22" s="19">
        <v>20</v>
      </c>
      <c r="B22" s="74"/>
      <c r="C22" s="74"/>
      <c r="D22" s="77"/>
      <c r="E22" s="74"/>
      <c r="F22" s="74"/>
      <c r="G22" s="58"/>
      <c r="H22" s="58"/>
      <c r="I22" s="58"/>
      <c r="J22" s="58"/>
      <c r="K22" s="58"/>
      <c r="L22" s="58"/>
      <c r="M22" s="198">
        <f t="shared" si="29"/>
        <v>0.6</v>
      </c>
      <c r="N22" s="194">
        <f t="shared" si="30"/>
        <v>0.2</v>
      </c>
      <c r="O22" s="195">
        <f t="shared" si="31"/>
        <v>0.2</v>
      </c>
      <c r="P22" s="200">
        <f t="shared" si="32"/>
        <v>0</v>
      </c>
      <c r="Q22" s="55">
        <f t="shared" si="0"/>
        <v>0</v>
      </c>
      <c r="R22" s="76"/>
      <c r="S22" s="136">
        <f t="shared" si="33"/>
        <v>0</v>
      </c>
      <c r="T22" s="136">
        <f t="shared" si="1"/>
        <v>0</v>
      </c>
      <c r="U22" s="136">
        <f t="shared" si="2"/>
        <v>0</v>
      </c>
      <c r="V22" s="136">
        <f t="shared" si="3"/>
        <v>0</v>
      </c>
      <c r="W22" s="155">
        <f t="shared" si="4"/>
        <v>0</v>
      </c>
      <c r="X22" s="136">
        <f t="shared" si="5"/>
        <v>0</v>
      </c>
      <c r="Z22" s="155">
        <f t="shared" si="6"/>
        <v>0</v>
      </c>
      <c r="AA22" s="155">
        <f t="shared" si="7"/>
        <v>0</v>
      </c>
      <c r="AB22" s="155">
        <f t="shared" si="8"/>
        <v>0</v>
      </c>
      <c r="AC22" s="155">
        <f t="shared" si="9"/>
        <v>0</v>
      </c>
      <c r="AD22" s="155">
        <f t="shared" si="10"/>
        <v>0</v>
      </c>
      <c r="AF22" s="155">
        <f t="shared" si="11"/>
        <v>0</v>
      </c>
      <c r="AG22" s="155">
        <f t="shared" si="12"/>
        <v>0</v>
      </c>
      <c r="AH22" s="155">
        <f t="shared" si="13"/>
        <v>0</v>
      </c>
      <c r="AI22" s="155">
        <f t="shared" si="14"/>
        <v>0</v>
      </c>
      <c r="AJ22" s="155">
        <f t="shared" si="15"/>
        <v>0</v>
      </c>
      <c r="AK22" s="155">
        <f t="shared" si="16"/>
        <v>0</v>
      </c>
      <c r="AM22" s="155">
        <f t="shared" si="17"/>
        <v>0</v>
      </c>
      <c r="AN22" s="155">
        <f t="shared" si="18"/>
        <v>0</v>
      </c>
      <c r="AO22" s="155">
        <f t="shared" si="19"/>
        <v>0</v>
      </c>
      <c r="AP22" s="155">
        <f t="shared" si="20"/>
        <v>0</v>
      </c>
      <c r="AQ22" s="155">
        <f t="shared" si="21"/>
        <v>0</v>
      </c>
      <c r="AR22" s="155">
        <f t="shared" si="22"/>
        <v>0</v>
      </c>
      <c r="AT22" s="155">
        <f t="shared" si="23"/>
        <v>0</v>
      </c>
      <c r="AU22" s="155">
        <f t="shared" si="24"/>
        <v>0</v>
      </c>
      <c r="AV22" s="155">
        <f t="shared" si="25"/>
        <v>0</v>
      </c>
      <c r="AW22" s="155">
        <f t="shared" si="26"/>
        <v>0</v>
      </c>
      <c r="AX22" s="155">
        <f t="shared" si="27"/>
        <v>0</v>
      </c>
      <c r="AY22" s="155">
        <f t="shared" si="28"/>
        <v>0</v>
      </c>
    </row>
    <row r="23" spans="1:51" ht="16.5" thickBot="1">
      <c r="A23" s="19"/>
      <c r="B23" s="76" t="s">
        <v>72</v>
      </c>
      <c r="C23" s="76"/>
      <c r="D23" s="76"/>
      <c r="E23" s="76"/>
      <c r="F23" s="56">
        <f aca="true" t="shared" si="34" ref="F23:Q23">SUM(F3:F22)</f>
        <v>12</v>
      </c>
      <c r="G23" s="56">
        <f t="shared" si="34"/>
        <v>1300</v>
      </c>
      <c r="H23" s="56">
        <f t="shared" si="34"/>
        <v>687</v>
      </c>
      <c r="I23" s="56">
        <f t="shared" si="34"/>
        <v>450</v>
      </c>
      <c r="J23" s="56">
        <f t="shared" si="34"/>
        <v>280</v>
      </c>
      <c r="K23" s="56">
        <f t="shared" si="34"/>
        <v>0</v>
      </c>
      <c r="L23" s="56">
        <f t="shared" si="34"/>
        <v>40</v>
      </c>
      <c r="Q23" s="56">
        <f t="shared" si="34"/>
        <v>2757</v>
      </c>
      <c r="R23" s="76"/>
      <c r="S23" s="137">
        <f aca="true" t="shared" si="35" ref="S23:X23">SUM(S3:S22)</f>
        <v>2757</v>
      </c>
      <c r="T23" s="137">
        <f t="shared" si="35"/>
        <v>730</v>
      </c>
      <c r="U23" s="137">
        <f t="shared" si="35"/>
        <v>100</v>
      </c>
      <c r="V23" s="137">
        <f t="shared" si="35"/>
        <v>1827</v>
      </c>
      <c r="W23" s="137">
        <f t="shared" si="35"/>
        <v>100</v>
      </c>
      <c r="X23" s="137">
        <f t="shared" si="35"/>
        <v>0</v>
      </c>
      <c r="Z23" s="137">
        <f>SUM(Z3:Z22)</f>
        <v>1654.2</v>
      </c>
      <c r="AA23" s="137">
        <f>SUM(AA3:AA22)</f>
        <v>438</v>
      </c>
      <c r="AB23" s="137">
        <f>SUM(AB3:AB22)</f>
        <v>60</v>
      </c>
      <c r="AC23" s="137">
        <f>SUM(AC3:AC22)</f>
        <v>1096.2</v>
      </c>
      <c r="AD23" s="137">
        <f>SUM(AD3:AD22)</f>
        <v>60</v>
      </c>
      <c r="AF23" s="137">
        <f aca="true" t="shared" si="36" ref="AF23:AK23">SUM(AF3:AF22)</f>
        <v>551.4000000000001</v>
      </c>
      <c r="AG23" s="137">
        <f t="shared" si="36"/>
        <v>146</v>
      </c>
      <c r="AH23" s="137">
        <f t="shared" si="36"/>
        <v>20</v>
      </c>
      <c r="AI23" s="137">
        <f t="shared" si="36"/>
        <v>365.4</v>
      </c>
      <c r="AJ23" s="137">
        <f t="shared" si="36"/>
        <v>20</v>
      </c>
      <c r="AK23" s="137">
        <f t="shared" si="36"/>
        <v>0</v>
      </c>
      <c r="AM23" s="137">
        <f aca="true" t="shared" si="37" ref="AM23:AR23">SUM(AM3:AM22)</f>
        <v>551.4000000000001</v>
      </c>
      <c r="AN23" s="137">
        <f t="shared" si="37"/>
        <v>146</v>
      </c>
      <c r="AO23" s="137">
        <f t="shared" si="37"/>
        <v>20</v>
      </c>
      <c r="AP23" s="137">
        <f t="shared" si="37"/>
        <v>365.4</v>
      </c>
      <c r="AQ23" s="137">
        <f t="shared" si="37"/>
        <v>20</v>
      </c>
      <c r="AR23" s="137">
        <f t="shared" si="37"/>
        <v>0</v>
      </c>
      <c r="AT23" s="137">
        <f aca="true" t="shared" si="38" ref="AT23:AY23">SUM(AT3:AT22)</f>
        <v>0</v>
      </c>
      <c r="AU23" s="137">
        <f t="shared" si="38"/>
        <v>0</v>
      </c>
      <c r="AV23" s="137">
        <f t="shared" si="38"/>
        <v>0</v>
      </c>
      <c r="AW23" s="137">
        <f t="shared" si="38"/>
        <v>0</v>
      </c>
      <c r="AX23" s="137">
        <f t="shared" si="38"/>
        <v>0</v>
      </c>
      <c r="AY23" s="137">
        <f t="shared" si="38"/>
        <v>0</v>
      </c>
    </row>
    <row r="24" spans="1:19" ht="16.5" thickBot="1">
      <c r="A24" s="19"/>
      <c r="B24" s="19"/>
      <c r="C24" s="19"/>
      <c r="D24" s="19"/>
      <c r="E24" s="19"/>
      <c r="F24" s="19"/>
      <c r="G24" s="22"/>
      <c r="H24" s="22"/>
      <c r="I24" s="22"/>
      <c r="J24" s="22"/>
      <c r="K24" s="22"/>
      <c r="L24" s="22"/>
      <c r="Q24" s="22"/>
      <c r="S24" s="206" t="str">
        <f>IF(S23=Q23,"OK","Totals don't equal?")</f>
        <v>OK</v>
      </c>
    </row>
    <row r="25" ht="16.5" thickBot="1">
      <c r="S25" s="207" t="str">
        <f>IF(S23=Z23+AF23+AM23+AT23,"OK","Fund totals doesn't equal Total")</f>
        <v>OK</v>
      </c>
    </row>
    <row r="26" spans="5:19" ht="16.5" thickBot="1">
      <c r="E26" s="394" t="s">
        <v>324</v>
      </c>
      <c r="F26" s="395"/>
      <c r="G26" s="292">
        <f>'Bud-A&amp;B Pers Exp'!J27</f>
        <v>68692.12</v>
      </c>
      <c r="H26" s="289"/>
      <c r="I26" s="290"/>
      <c r="J26" s="291"/>
      <c r="K26" s="291"/>
      <c r="S26" s="8"/>
    </row>
    <row r="27" spans="5:11" ht="16.5" thickBot="1">
      <c r="E27" s="394" t="s">
        <v>326</v>
      </c>
      <c r="F27" s="395"/>
      <c r="G27" s="292">
        <f>'Bud-A&amp;B Pers Exp'!J28</f>
        <v>73662.64</v>
      </c>
      <c r="H27" s="289"/>
      <c r="I27" s="289"/>
      <c r="J27" s="289"/>
      <c r="K27" s="289"/>
    </row>
    <row r="28" spans="5:11" ht="16.5" thickBot="1">
      <c r="E28" s="394" t="s">
        <v>322</v>
      </c>
      <c r="F28" s="395"/>
      <c r="G28" s="292">
        <f>'Bud-A&amp;B Pers Exp'!J29</f>
        <v>9991.92</v>
      </c>
      <c r="H28" s="295">
        <f>G28/SUM(G26:G27)</f>
        <v>0.07019027674241451</v>
      </c>
      <c r="I28" s="289" t="s">
        <v>351</v>
      </c>
      <c r="K28" s="289"/>
    </row>
    <row r="29" spans="5:11" ht="16.5" thickBot="1">
      <c r="E29" s="394" t="s">
        <v>336</v>
      </c>
      <c r="F29" s="395"/>
      <c r="G29" s="292">
        <f>'Bud-A&amp;B Pers Exp'!J30</f>
        <v>31</v>
      </c>
      <c r="H29" s="289"/>
      <c r="I29" s="289"/>
      <c r="J29" s="289"/>
      <c r="K29" s="289"/>
    </row>
    <row r="33" spans="13:16" ht="15.75">
      <c r="M33" s="5"/>
      <c r="N33" s="5"/>
      <c r="O33" s="5"/>
      <c r="P33" s="5"/>
    </row>
  </sheetData>
  <sheetProtection/>
  <mergeCells count="4">
    <mergeCell ref="E26:F26"/>
    <mergeCell ref="E27:F27"/>
    <mergeCell ref="E28:F28"/>
    <mergeCell ref="E29:F2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63"/>
  <sheetViews>
    <sheetView zoomScale="86" zoomScaleNormal="86" zoomScalePageLayoutView="0" workbookViewId="0" topLeftCell="A1">
      <selection activeCell="H55" sqref="H55"/>
    </sheetView>
  </sheetViews>
  <sheetFormatPr defaultColWidth="8.88671875" defaultRowHeight="15.75"/>
  <cols>
    <col min="1" max="1" width="3.21484375" style="96" customWidth="1"/>
    <col min="2" max="2" width="90.5546875" style="0" customWidth="1"/>
    <col min="3" max="3" width="8.88671875" style="2" customWidth="1"/>
    <col min="4" max="4" width="10.77734375" style="0" customWidth="1"/>
    <col min="5" max="5" width="5.77734375" style="23" customWidth="1"/>
    <col min="6" max="6" width="7.10546875" style="23" customWidth="1"/>
    <col min="7" max="7" width="6.5546875" style="23" customWidth="1"/>
    <col min="8" max="8" width="5.77734375" style="23" customWidth="1"/>
    <col min="9" max="9" width="5.99609375" style="0" customWidth="1"/>
    <col min="10" max="10" width="9.77734375" style="0" bestFit="1" customWidth="1"/>
    <col min="11" max="11" width="9.10546875" style="0" bestFit="1" customWidth="1"/>
    <col min="12" max="12" width="8.77734375" style="0" bestFit="1" customWidth="1"/>
    <col min="13" max="13" width="9.10546875" style="0" bestFit="1" customWidth="1"/>
    <col min="14" max="14" width="8.77734375" style="0" bestFit="1" customWidth="1"/>
    <col min="15" max="15" width="5.3359375" style="0" bestFit="1" customWidth="1"/>
    <col min="16" max="16" width="1.5625" style="0" customWidth="1"/>
    <col min="17" max="21" width="9.6640625" style="0" customWidth="1"/>
    <col min="22" max="22" width="6.6640625" style="0" bestFit="1" customWidth="1"/>
    <col min="23" max="23" width="1.5625" style="23" customWidth="1"/>
    <col min="24" max="28" width="9.10546875" style="23" customWidth="1"/>
    <col min="29" max="29" width="6.6640625" style="23" bestFit="1" customWidth="1"/>
    <col min="30" max="30" width="1.5625" style="23" customWidth="1"/>
    <col min="31" max="34" width="8.99609375" style="23" bestFit="1" customWidth="1"/>
    <col min="35" max="35" width="8.88671875" style="23" customWidth="1"/>
    <col min="36" max="36" width="5.3359375" style="23" bestFit="1" customWidth="1"/>
    <col min="37" max="37" width="1.5625" style="23" customWidth="1"/>
    <col min="38" max="38" width="8.99609375" style="23" bestFit="1" customWidth="1"/>
    <col min="39" max="39" width="6.99609375" style="23" bestFit="1" customWidth="1"/>
    <col min="40" max="40" width="6.6640625" style="23" bestFit="1" customWidth="1"/>
    <col min="41" max="41" width="6.77734375" style="23" bestFit="1" customWidth="1"/>
    <col min="42" max="42" width="6.5546875" style="23" bestFit="1" customWidth="1"/>
    <col min="43" max="43" width="5.3359375" style="23" bestFit="1" customWidth="1"/>
    <col min="44" max="44" width="7.4453125" style="0" customWidth="1"/>
    <col min="61" max="61" width="4.3359375" style="0" customWidth="1"/>
  </cols>
  <sheetData>
    <row r="1" spans="1:44" s="1" customFormat="1" ht="48.75" thickBot="1">
      <c r="A1" s="93"/>
      <c r="B1" s="89" t="s">
        <v>204</v>
      </c>
      <c r="C1" s="89" t="s">
        <v>201</v>
      </c>
      <c r="D1" s="89" t="s">
        <v>194</v>
      </c>
      <c r="E1" s="217" t="s">
        <v>315</v>
      </c>
      <c r="F1" s="217" t="s">
        <v>316</v>
      </c>
      <c r="G1" s="217" t="s">
        <v>317</v>
      </c>
      <c r="H1" s="217" t="s">
        <v>327</v>
      </c>
      <c r="J1" s="218" t="s">
        <v>72</v>
      </c>
      <c r="K1" s="218" t="s">
        <v>187</v>
      </c>
      <c r="L1" s="218" t="s">
        <v>188</v>
      </c>
      <c r="M1" s="218" t="s">
        <v>189</v>
      </c>
      <c r="N1" s="218" t="s">
        <v>190</v>
      </c>
      <c r="O1" s="218" t="s">
        <v>191</v>
      </c>
      <c r="P1" s="218"/>
      <c r="Q1" s="218" t="s">
        <v>324</v>
      </c>
      <c r="R1" s="218" t="s">
        <v>187</v>
      </c>
      <c r="S1" s="218" t="s">
        <v>188</v>
      </c>
      <c r="T1" s="218" t="s">
        <v>189</v>
      </c>
      <c r="U1" s="218" t="s">
        <v>190</v>
      </c>
      <c r="V1" s="218" t="s">
        <v>191</v>
      </c>
      <c r="W1" s="218"/>
      <c r="X1" s="218" t="s">
        <v>326</v>
      </c>
      <c r="Y1" s="218" t="s">
        <v>187</v>
      </c>
      <c r="Z1" s="218" t="s">
        <v>188</v>
      </c>
      <c r="AA1" s="218" t="s">
        <v>189</v>
      </c>
      <c r="AB1" s="218" t="s">
        <v>190</v>
      </c>
      <c r="AC1" s="218" t="s">
        <v>191</v>
      </c>
      <c r="AD1" s="218"/>
      <c r="AE1" s="218" t="s">
        <v>322</v>
      </c>
      <c r="AF1" s="218" t="s">
        <v>187</v>
      </c>
      <c r="AG1" s="218" t="s">
        <v>188</v>
      </c>
      <c r="AH1" s="218" t="s">
        <v>189</v>
      </c>
      <c r="AI1" s="218" t="s">
        <v>190</v>
      </c>
      <c r="AJ1" s="218" t="s">
        <v>191</v>
      </c>
      <c r="AK1" s="218"/>
      <c r="AL1" s="218" t="s">
        <v>323</v>
      </c>
      <c r="AM1" s="218" t="s">
        <v>187</v>
      </c>
      <c r="AN1" s="218" t="s">
        <v>188</v>
      </c>
      <c r="AO1" s="218" t="s">
        <v>189</v>
      </c>
      <c r="AP1" s="218" t="s">
        <v>190</v>
      </c>
      <c r="AQ1" s="218" t="s">
        <v>191</v>
      </c>
      <c r="AR1" s="218" t="s">
        <v>191</v>
      </c>
    </row>
    <row r="2" spans="1:61" ht="18.75">
      <c r="A2" s="94" t="s">
        <v>196</v>
      </c>
      <c r="B2" s="84"/>
      <c r="C2" s="100"/>
      <c r="D2" s="69"/>
      <c r="Q2" s="23"/>
      <c r="R2" s="23"/>
      <c r="S2" s="23"/>
      <c r="T2" s="23"/>
      <c r="U2" s="23"/>
      <c r="V2" s="23"/>
      <c r="BI2" s="2">
        <v>1</v>
      </c>
    </row>
    <row r="3" spans="1:61" ht="18.75">
      <c r="A3" s="118">
        <v>1</v>
      </c>
      <c r="B3" s="103" t="s">
        <v>299</v>
      </c>
      <c r="C3" s="101">
        <v>2</v>
      </c>
      <c r="D3" s="208">
        <v>1500</v>
      </c>
      <c r="E3" s="196">
        <v>0.6</v>
      </c>
      <c r="F3" s="192">
        <v>0.2</v>
      </c>
      <c r="G3" s="193">
        <f aca="true" t="shared" si="0" ref="G3:G10">1-E3-F3-H3</f>
        <v>0.15000000000000002</v>
      </c>
      <c r="H3" s="197">
        <v>0.05</v>
      </c>
      <c r="I3" s="83"/>
      <c r="J3" s="155">
        <f>$D3</f>
        <v>1500</v>
      </c>
      <c r="K3" s="155">
        <f>IF($C3=1,J3,IF($C3="All",ROUND(J3/4,0),0))</f>
        <v>0</v>
      </c>
      <c r="L3" s="155">
        <f>IF($C3=2,J3,IF($C3="All",ROUND(J3/4,0),0))</f>
        <v>1500</v>
      </c>
      <c r="M3" s="155">
        <f>IF($C3=3,$J3,IF($C3="All",ROUND(J3/4,0),0))</f>
        <v>0</v>
      </c>
      <c r="N3" s="155">
        <f>J3-SUM(K3:M3)</f>
        <v>0</v>
      </c>
      <c r="O3" s="211" t="str">
        <f>IF(J3-SUM(K3:N3)=0,"OK","Error!")</f>
        <v>OK</v>
      </c>
      <c r="P3" s="211"/>
      <c r="Q3" s="155">
        <f>$J3*E3</f>
        <v>900</v>
      </c>
      <c r="R3" s="155">
        <f>IF($C3=1,Q3,IF($C3="All",ROUND(Q3/4,0),0))</f>
        <v>0</v>
      </c>
      <c r="S3" s="155">
        <f>IF($C3=2,Q3,IF($C3="All",ROUND(Q3/4,0),0))</f>
        <v>900</v>
      </c>
      <c r="T3" s="155">
        <f>IF($C3=3,$J3,IF($C3="All",ROUND(Q3/4,0),0))</f>
        <v>0</v>
      </c>
      <c r="U3" s="155">
        <f>Q3-SUM(R3:T3)</f>
        <v>0</v>
      </c>
      <c r="V3" s="211" t="str">
        <f aca="true" t="shared" si="1" ref="V3:V11">IF(Q3-SUM(R3:U3)=0,"OK","Error!")</f>
        <v>OK</v>
      </c>
      <c r="W3" s="211"/>
      <c r="X3" s="155">
        <f>$J3*F3</f>
        <v>300</v>
      </c>
      <c r="Y3" s="155">
        <f>IF($C3=1,X3,IF($C3="All",ROUND(X3/4,0),0))</f>
        <v>0</v>
      </c>
      <c r="Z3" s="155">
        <f>IF($C3=2,X3,IF($C3="All",ROUND(X3/4,0),0))</f>
        <v>300</v>
      </c>
      <c r="AA3" s="155">
        <f>IF($C3=3,$J3,IF($C3="All",ROUND(X3/4,0),0))</f>
        <v>0</v>
      </c>
      <c r="AB3" s="155">
        <f>X3-SUM(Y3:AA3)</f>
        <v>0</v>
      </c>
      <c r="AC3" s="211" t="str">
        <f>IF(X3-SUM(Y3:AB3)=0,"OK","Error!")</f>
        <v>OK</v>
      </c>
      <c r="AD3" s="211"/>
      <c r="AE3" s="155">
        <f>ROUND($J3*G3,2)</f>
        <v>225</v>
      </c>
      <c r="AF3" s="155">
        <f>IF($C3=1,AE3,IF($C3="All",ROUND(AE3/4,2),0))</f>
        <v>0</v>
      </c>
      <c r="AG3" s="155">
        <f>IF($C3=2,AE3,IF($C3="All",ROUND(AE3/4,2),0))</f>
        <v>225</v>
      </c>
      <c r="AH3" s="155">
        <f>IF($C3=3,$J3,IF($C3="All",ROUND(AE3/4,2),0))</f>
        <v>0</v>
      </c>
      <c r="AI3" s="155">
        <f>AE3-SUM(AF3:AH3)</f>
        <v>0</v>
      </c>
      <c r="AJ3" s="211" t="str">
        <f aca="true" t="shared" si="2" ref="AJ3:AJ11">IF(AE3-SUM(AF3:AI3)=0,"OK","Error!")</f>
        <v>OK</v>
      </c>
      <c r="AK3" s="211"/>
      <c r="AL3" s="155">
        <f>ROUND($J3*H3,2)</f>
        <v>75</v>
      </c>
      <c r="AM3" s="155">
        <f>IF($C3=1,AL3,IF($C3="All",ROUND(AL3/4,2),0))</f>
        <v>0</v>
      </c>
      <c r="AN3" s="155">
        <f>IF($C3=2,AL3,IF($C3="All",ROUND(AL3/4,2),0))</f>
        <v>75</v>
      </c>
      <c r="AO3" s="155">
        <f>IF($C3=3,$J3,IF($C3="All",ROUND(AL3/4,2),0))</f>
        <v>0</v>
      </c>
      <c r="AP3" s="155">
        <f>AL3-SUM(AM3:AO3)</f>
        <v>0</v>
      </c>
      <c r="AQ3" s="211" t="str">
        <f>IF(AL3-SUM(AM3:AP3)=0,"OK","Error!")</f>
        <v>OK</v>
      </c>
      <c r="AR3" s="211">
        <f>J3-Q3-X3-AE3-AL3</f>
        <v>0</v>
      </c>
      <c r="AS3" s="211"/>
      <c r="BI3" s="2">
        <v>2</v>
      </c>
    </row>
    <row r="4" spans="1:61" s="23" customFormat="1" ht="18.75">
      <c r="A4" s="118">
        <v>2</v>
      </c>
      <c r="B4" s="103" t="s">
        <v>300</v>
      </c>
      <c r="C4" s="101">
        <v>1</v>
      </c>
      <c r="D4" s="208">
        <v>500</v>
      </c>
      <c r="E4" s="198">
        <f>E3</f>
        <v>0.6</v>
      </c>
      <c r="F4" s="194">
        <f>F3</f>
        <v>0.2</v>
      </c>
      <c r="G4" s="195">
        <f t="shared" si="0"/>
        <v>0.15000000000000002</v>
      </c>
      <c r="H4" s="200">
        <f aca="true" t="shared" si="3" ref="H4:H10">H3</f>
        <v>0.05</v>
      </c>
      <c r="I4" s="83"/>
      <c r="J4" s="155">
        <f aca="true" t="shared" si="4" ref="J4:J10">$D4</f>
        <v>500</v>
      </c>
      <c r="K4" s="155">
        <f aca="true" t="shared" si="5" ref="K4:K10">IF($C4=1,J4,IF($C4="All",ROUND(J4/4,0),0))</f>
        <v>500</v>
      </c>
      <c r="L4" s="155">
        <f aca="true" t="shared" si="6" ref="L4:L10">IF($C4=2,J4,IF($C4="All",ROUND(J4/4,0),0))</f>
        <v>0</v>
      </c>
      <c r="M4" s="155">
        <f aca="true" t="shared" si="7" ref="M4:M10">IF($C4=3,$J4,IF($C4="All",ROUND(J4/4,0),0))</f>
        <v>0</v>
      </c>
      <c r="N4" s="155">
        <f aca="true" t="shared" si="8" ref="N4:N10">J4-SUM(K4:M4)</f>
        <v>0</v>
      </c>
      <c r="O4" s="211" t="str">
        <f aca="true" t="shared" si="9" ref="O4:O11">IF(J4-SUM(K4:N4)=0,"OK","Error!")</f>
        <v>OK</v>
      </c>
      <c r="P4" s="211"/>
      <c r="Q4" s="155">
        <f>$J4*E4</f>
        <v>300</v>
      </c>
      <c r="R4" s="155">
        <f aca="true" t="shared" si="10" ref="R4:R10">IF($C4=1,Q4,IF($C4="All",ROUND(Q4/4,0),0))</f>
        <v>300</v>
      </c>
      <c r="S4" s="155">
        <f aca="true" t="shared" si="11" ref="S4:S10">IF($C4=2,Q4,IF($C4="All",ROUND(Q4/4,0),0))</f>
        <v>0</v>
      </c>
      <c r="T4" s="155">
        <f aca="true" t="shared" si="12" ref="T4:T10">IF($C4=3,$J4,IF($C4="All",ROUND(Q4/4,0),0))</f>
        <v>0</v>
      </c>
      <c r="U4" s="155">
        <f aca="true" t="shared" si="13" ref="U4:U10">Q4-SUM(R4:T4)</f>
        <v>0</v>
      </c>
      <c r="V4" s="211" t="str">
        <f t="shared" si="1"/>
        <v>OK</v>
      </c>
      <c r="W4" s="211"/>
      <c r="X4" s="155">
        <f aca="true" t="shared" si="14" ref="X4:X10">$J4*F4</f>
        <v>100</v>
      </c>
      <c r="Y4" s="155">
        <f aca="true" t="shared" si="15" ref="Y4:Y10">IF($C4=1,X4,IF($C4="All",ROUND(X4/4,0),0))</f>
        <v>100</v>
      </c>
      <c r="Z4" s="155">
        <f aca="true" t="shared" si="16" ref="Z4:Z10">IF($C4=2,X4,IF($C4="All",ROUND(X4/4,0),0))</f>
        <v>0</v>
      </c>
      <c r="AA4" s="155">
        <f aca="true" t="shared" si="17" ref="AA4:AA10">IF($C4=3,$J4,IF($C4="All",ROUND(X4/4,0),0))</f>
        <v>0</v>
      </c>
      <c r="AB4" s="155">
        <f aca="true" t="shared" si="18" ref="AB4:AB10">X4-SUM(Y4:AA4)</f>
        <v>0</v>
      </c>
      <c r="AC4" s="211" t="str">
        <f aca="true" t="shared" si="19" ref="AC4:AC10">IF(X4-SUM(Y4:AB4)=0,"OK","Error!")</f>
        <v>OK</v>
      </c>
      <c r="AD4" s="211"/>
      <c r="AE4" s="155">
        <f aca="true" t="shared" si="20" ref="AE4:AE10">ROUND($J4*G4,2)</f>
        <v>75</v>
      </c>
      <c r="AF4" s="155">
        <f aca="true" t="shared" si="21" ref="AF4:AF10">IF($C4=1,AE4,IF($C4="All",ROUND(AE4/4,2),0))</f>
        <v>75</v>
      </c>
      <c r="AG4" s="155">
        <f aca="true" t="shared" si="22" ref="AG4:AG10">IF($C4=2,AE4,IF($C4="All",ROUND(AE4/4,2),0))</f>
        <v>0</v>
      </c>
      <c r="AH4" s="155">
        <f aca="true" t="shared" si="23" ref="AH4:AH10">IF($C4=3,$J4,IF($C4="All",ROUND(AE4/4,2),0))</f>
        <v>0</v>
      </c>
      <c r="AI4" s="155">
        <f aca="true" t="shared" si="24" ref="AI4:AI10">AE4-SUM(AF4:AH4)</f>
        <v>0</v>
      </c>
      <c r="AJ4" s="211" t="str">
        <f t="shared" si="2"/>
        <v>OK</v>
      </c>
      <c r="AK4" s="211"/>
      <c r="AL4" s="155">
        <f aca="true" t="shared" si="25" ref="AL4:AL10">ROUND($J4*H4,2)</f>
        <v>25</v>
      </c>
      <c r="AM4" s="155">
        <f aca="true" t="shared" si="26" ref="AM4:AM10">IF($C4=1,AL4,IF($C4="All",ROUND(AL4/4,2),0))</f>
        <v>25</v>
      </c>
      <c r="AN4" s="155">
        <f aca="true" t="shared" si="27" ref="AN4:AN10">IF($C4=2,AL4,IF($C4="All",ROUND(AL4/4,2),0))</f>
        <v>0</v>
      </c>
      <c r="AO4" s="155">
        <f aca="true" t="shared" si="28" ref="AO4:AO10">IF($C4=3,$J4,IF($C4="All",ROUND(AL4/4,2),0))</f>
        <v>0</v>
      </c>
      <c r="AP4" s="155">
        <f aca="true" t="shared" si="29" ref="AP4:AP10">AL4-SUM(AM4:AO4)</f>
        <v>0</v>
      </c>
      <c r="AQ4" s="211" t="str">
        <f aca="true" t="shared" si="30" ref="AQ4:AQ10">IF(AL4-SUM(AM4:AP4)=0,"OK","Error!")</f>
        <v>OK</v>
      </c>
      <c r="AR4" s="211">
        <f aca="true" t="shared" si="31" ref="AR4:AR46">J4-Q4-X4-AE4-AL4</f>
        <v>0</v>
      </c>
      <c r="AS4" s="211"/>
      <c r="BI4" s="2">
        <v>3</v>
      </c>
    </row>
    <row r="5" spans="1:61" s="23" customFormat="1" ht="18.75">
      <c r="A5" s="118">
        <v>3</v>
      </c>
      <c r="B5" s="103"/>
      <c r="C5" s="101"/>
      <c r="D5" s="208"/>
      <c r="E5" s="198">
        <f aca="true" t="shared" si="32" ref="E5:F8">E4</f>
        <v>0.6</v>
      </c>
      <c r="F5" s="194">
        <f t="shared" si="32"/>
        <v>0.2</v>
      </c>
      <c r="G5" s="195">
        <f t="shared" si="0"/>
        <v>0.15000000000000002</v>
      </c>
      <c r="H5" s="200">
        <f t="shared" si="3"/>
        <v>0.05</v>
      </c>
      <c r="I5" s="83"/>
      <c r="J5" s="155">
        <f t="shared" si="4"/>
        <v>0</v>
      </c>
      <c r="K5" s="155">
        <f t="shared" si="5"/>
        <v>0</v>
      </c>
      <c r="L5" s="155">
        <f t="shared" si="6"/>
        <v>0</v>
      </c>
      <c r="M5" s="155">
        <f t="shared" si="7"/>
        <v>0</v>
      </c>
      <c r="N5" s="155">
        <f t="shared" si="8"/>
        <v>0</v>
      </c>
      <c r="O5" s="211" t="str">
        <f t="shared" si="9"/>
        <v>OK</v>
      </c>
      <c r="P5" s="211"/>
      <c r="Q5" s="155">
        <f aca="true" t="shared" si="33" ref="Q5:Q10">$J5*E5</f>
        <v>0</v>
      </c>
      <c r="R5" s="155">
        <f t="shared" si="10"/>
        <v>0</v>
      </c>
      <c r="S5" s="155">
        <f t="shared" si="11"/>
        <v>0</v>
      </c>
      <c r="T5" s="155">
        <f t="shared" si="12"/>
        <v>0</v>
      </c>
      <c r="U5" s="155">
        <f t="shared" si="13"/>
        <v>0</v>
      </c>
      <c r="V5" s="211" t="str">
        <f t="shared" si="1"/>
        <v>OK</v>
      </c>
      <c r="W5" s="211"/>
      <c r="X5" s="155">
        <f t="shared" si="14"/>
        <v>0</v>
      </c>
      <c r="Y5" s="155">
        <f t="shared" si="15"/>
        <v>0</v>
      </c>
      <c r="Z5" s="155">
        <f t="shared" si="16"/>
        <v>0</v>
      </c>
      <c r="AA5" s="155">
        <f t="shared" si="17"/>
        <v>0</v>
      </c>
      <c r="AB5" s="155">
        <f t="shared" si="18"/>
        <v>0</v>
      </c>
      <c r="AC5" s="211" t="str">
        <f t="shared" si="19"/>
        <v>OK</v>
      </c>
      <c r="AD5" s="211"/>
      <c r="AE5" s="155">
        <f t="shared" si="20"/>
        <v>0</v>
      </c>
      <c r="AF5" s="155">
        <f t="shared" si="21"/>
        <v>0</v>
      </c>
      <c r="AG5" s="155">
        <f t="shared" si="22"/>
        <v>0</v>
      </c>
      <c r="AH5" s="155">
        <f t="shared" si="23"/>
        <v>0</v>
      </c>
      <c r="AI5" s="155">
        <f t="shared" si="24"/>
        <v>0</v>
      </c>
      <c r="AJ5" s="211" t="str">
        <f t="shared" si="2"/>
        <v>OK</v>
      </c>
      <c r="AK5" s="211"/>
      <c r="AL5" s="155">
        <f t="shared" si="25"/>
        <v>0</v>
      </c>
      <c r="AM5" s="155">
        <f t="shared" si="26"/>
        <v>0</v>
      </c>
      <c r="AN5" s="155">
        <f t="shared" si="27"/>
        <v>0</v>
      </c>
      <c r="AO5" s="155">
        <f t="shared" si="28"/>
        <v>0</v>
      </c>
      <c r="AP5" s="155">
        <f t="shared" si="29"/>
        <v>0</v>
      </c>
      <c r="AQ5" s="211" t="str">
        <f t="shared" si="30"/>
        <v>OK</v>
      </c>
      <c r="AR5" s="211">
        <f t="shared" si="31"/>
        <v>0</v>
      </c>
      <c r="AS5" s="211"/>
      <c r="BI5" s="2">
        <v>4</v>
      </c>
    </row>
    <row r="6" spans="1:61" s="23" customFormat="1" ht="18.75">
      <c r="A6" s="118">
        <v>4</v>
      </c>
      <c r="B6" s="103"/>
      <c r="C6" s="101"/>
      <c r="D6" s="208"/>
      <c r="E6" s="198">
        <f t="shared" si="32"/>
        <v>0.6</v>
      </c>
      <c r="F6" s="194">
        <f t="shared" si="32"/>
        <v>0.2</v>
      </c>
      <c r="G6" s="195">
        <f t="shared" si="0"/>
        <v>0.15000000000000002</v>
      </c>
      <c r="H6" s="200">
        <f t="shared" si="3"/>
        <v>0.05</v>
      </c>
      <c r="I6" s="83"/>
      <c r="J6" s="155">
        <f t="shared" si="4"/>
        <v>0</v>
      </c>
      <c r="K6" s="155">
        <f t="shared" si="5"/>
        <v>0</v>
      </c>
      <c r="L6" s="155">
        <f t="shared" si="6"/>
        <v>0</v>
      </c>
      <c r="M6" s="155">
        <f t="shared" si="7"/>
        <v>0</v>
      </c>
      <c r="N6" s="155">
        <f t="shared" si="8"/>
        <v>0</v>
      </c>
      <c r="O6" s="211" t="str">
        <f t="shared" si="9"/>
        <v>OK</v>
      </c>
      <c r="P6" s="211"/>
      <c r="Q6" s="155">
        <f t="shared" si="33"/>
        <v>0</v>
      </c>
      <c r="R6" s="155">
        <f t="shared" si="10"/>
        <v>0</v>
      </c>
      <c r="S6" s="155">
        <f t="shared" si="11"/>
        <v>0</v>
      </c>
      <c r="T6" s="155">
        <f t="shared" si="12"/>
        <v>0</v>
      </c>
      <c r="U6" s="155">
        <f t="shared" si="13"/>
        <v>0</v>
      </c>
      <c r="V6" s="211" t="str">
        <f t="shared" si="1"/>
        <v>OK</v>
      </c>
      <c r="W6" s="211"/>
      <c r="X6" s="155">
        <f t="shared" si="14"/>
        <v>0</v>
      </c>
      <c r="Y6" s="155">
        <f t="shared" si="15"/>
        <v>0</v>
      </c>
      <c r="Z6" s="155">
        <f t="shared" si="16"/>
        <v>0</v>
      </c>
      <c r="AA6" s="155">
        <f t="shared" si="17"/>
        <v>0</v>
      </c>
      <c r="AB6" s="155">
        <f t="shared" si="18"/>
        <v>0</v>
      </c>
      <c r="AC6" s="211" t="str">
        <f t="shared" si="19"/>
        <v>OK</v>
      </c>
      <c r="AD6" s="211"/>
      <c r="AE6" s="155">
        <f t="shared" si="20"/>
        <v>0</v>
      </c>
      <c r="AF6" s="155">
        <f t="shared" si="21"/>
        <v>0</v>
      </c>
      <c r="AG6" s="155">
        <f t="shared" si="22"/>
        <v>0</v>
      </c>
      <c r="AH6" s="155">
        <f t="shared" si="23"/>
        <v>0</v>
      </c>
      <c r="AI6" s="155">
        <f t="shared" si="24"/>
        <v>0</v>
      </c>
      <c r="AJ6" s="211" t="str">
        <f t="shared" si="2"/>
        <v>OK</v>
      </c>
      <c r="AK6" s="211"/>
      <c r="AL6" s="155">
        <f t="shared" si="25"/>
        <v>0</v>
      </c>
      <c r="AM6" s="155">
        <f t="shared" si="26"/>
        <v>0</v>
      </c>
      <c r="AN6" s="155">
        <f t="shared" si="27"/>
        <v>0</v>
      </c>
      <c r="AO6" s="155">
        <f t="shared" si="28"/>
        <v>0</v>
      </c>
      <c r="AP6" s="155">
        <f t="shared" si="29"/>
        <v>0</v>
      </c>
      <c r="AQ6" s="211" t="str">
        <f t="shared" si="30"/>
        <v>OK</v>
      </c>
      <c r="AR6" s="211">
        <f t="shared" si="31"/>
        <v>0</v>
      </c>
      <c r="AS6" s="211"/>
      <c r="BI6" s="2" t="s">
        <v>185</v>
      </c>
    </row>
    <row r="7" spans="1:45" ht="18.75">
      <c r="A7" s="118">
        <v>5</v>
      </c>
      <c r="B7" s="103"/>
      <c r="C7" s="101"/>
      <c r="D7" s="208"/>
      <c r="E7" s="198">
        <f t="shared" si="32"/>
        <v>0.6</v>
      </c>
      <c r="F7" s="194">
        <f t="shared" si="32"/>
        <v>0.2</v>
      </c>
      <c r="G7" s="195">
        <f t="shared" si="0"/>
        <v>0.15000000000000002</v>
      </c>
      <c r="H7" s="200">
        <f t="shared" si="3"/>
        <v>0.05</v>
      </c>
      <c r="I7" s="83"/>
      <c r="J7" s="155">
        <f t="shared" si="4"/>
        <v>0</v>
      </c>
      <c r="K7" s="155">
        <f t="shared" si="5"/>
        <v>0</v>
      </c>
      <c r="L7" s="155">
        <f t="shared" si="6"/>
        <v>0</v>
      </c>
      <c r="M7" s="155">
        <f t="shared" si="7"/>
        <v>0</v>
      </c>
      <c r="N7" s="155">
        <f t="shared" si="8"/>
        <v>0</v>
      </c>
      <c r="O7" s="211" t="str">
        <f t="shared" si="9"/>
        <v>OK</v>
      </c>
      <c r="P7" s="211"/>
      <c r="Q7" s="155">
        <f t="shared" si="33"/>
        <v>0</v>
      </c>
      <c r="R7" s="155">
        <f t="shared" si="10"/>
        <v>0</v>
      </c>
      <c r="S7" s="155">
        <f t="shared" si="11"/>
        <v>0</v>
      </c>
      <c r="T7" s="155">
        <f t="shared" si="12"/>
        <v>0</v>
      </c>
      <c r="U7" s="155">
        <f t="shared" si="13"/>
        <v>0</v>
      </c>
      <c r="V7" s="211" t="str">
        <f t="shared" si="1"/>
        <v>OK</v>
      </c>
      <c r="W7" s="211"/>
      <c r="X7" s="155">
        <f t="shared" si="14"/>
        <v>0</v>
      </c>
      <c r="Y7" s="155">
        <f t="shared" si="15"/>
        <v>0</v>
      </c>
      <c r="Z7" s="155">
        <f t="shared" si="16"/>
        <v>0</v>
      </c>
      <c r="AA7" s="155">
        <f t="shared" si="17"/>
        <v>0</v>
      </c>
      <c r="AB7" s="155">
        <f t="shared" si="18"/>
        <v>0</v>
      </c>
      <c r="AC7" s="211" t="str">
        <f t="shared" si="19"/>
        <v>OK</v>
      </c>
      <c r="AD7" s="211"/>
      <c r="AE7" s="155">
        <f t="shared" si="20"/>
        <v>0</v>
      </c>
      <c r="AF7" s="155">
        <f t="shared" si="21"/>
        <v>0</v>
      </c>
      <c r="AG7" s="155">
        <f t="shared" si="22"/>
        <v>0</v>
      </c>
      <c r="AH7" s="155">
        <f t="shared" si="23"/>
        <v>0</v>
      </c>
      <c r="AI7" s="155">
        <f t="shared" si="24"/>
        <v>0</v>
      </c>
      <c r="AJ7" s="211" t="str">
        <f t="shared" si="2"/>
        <v>OK</v>
      </c>
      <c r="AK7" s="211"/>
      <c r="AL7" s="155">
        <f t="shared" si="25"/>
        <v>0</v>
      </c>
      <c r="AM7" s="155">
        <f t="shared" si="26"/>
        <v>0</v>
      </c>
      <c r="AN7" s="155">
        <f t="shared" si="27"/>
        <v>0</v>
      </c>
      <c r="AO7" s="155">
        <f t="shared" si="28"/>
        <v>0</v>
      </c>
      <c r="AP7" s="155">
        <f t="shared" si="29"/>
        <v>0</v>
      </c>
      <c r="AQ7" s="211" t="str">
        <f t="shared" si="30"/>
        <v>OK</v>
      </c>
      <c r="AR7" s="211">
        <f t="shared" si="31"/>
        <v>0</v>
      </c>
      <c r="AS7" s="211"/>
    </row>
    <row r="8" spans="1:45" ht="18.75">
      <c r="A8" s="118">
        <v>6</v>
      </c>
      <c r="B8" s="103"/>
      <c r="C8" s="101"/>
      <c r="D8" s="208"/>
      <c r="E8" s="198">
        <f t="shared" si="32"/>
        <v>0.6</v>
      </c>
      <c r="F8" s="194">
        <f t="shared" si="32"/>
        <v>0.2</v>
      </c>
      <c r="G8" s="195">
        <f t="shared" si="0"/>
        <v>0.15000000000000002</v>
      </c>
      <c r="H8" s="200">
        <f t="shared" si="3"/>
        <v>0.05</v>
      </c>
      <c r="I8" s="83"/>
      <c r="J8" s="155">
        <f t="shared" si="4"/>
        <v>0</v>
      </c>
      <c r="K8" s="155">
        <f t="shared" si="5"/>
        <v>0</v>
      </c>
      <c r="L8" s="155">
        <f t="shared" si="6"/>
        <v>0</v>
      </c>
      <c r="M8" s="155">
        <f t="shared" si="7"/>
        <v>0</v>
      </c>
      <c r="N8" s="155">
        <f t="shared" si="8"/>
        <v>0</v>
      </c>
      <c r="O8" s="211" t="str">
        <f t="shared" si="9"/>
        <v>OK</v>
      </c>
      <c r="P8" s="211"/>
      <c r="Q8" s="155">
        <f t="shared" si="33"/>
        <v>0</v>
      </c>
      <c r="R8" s="155">
        <f t="shared" si="10"/>
        <v>0</v>
      </c>
      <c r="S8" s="155">
        <f t="shared" si="11"/>
        <v>0</v>
      </c>
      <c r="T8" s="155">
        <f t="shared" si="12"/>
        <v>0</v>
      </c>
      <c r="U8" s="155">
        <f t="shared" si="13"/>
        <v>0</v>
      </c>
      <c r="V8" s="211" t="str">
        <f t="shared" si="1"/>
        <v>OK</v>
      </c>
      <c r="W8" s="211"/>
      <c r="X8" s="155">
        <f t="shared" si="14"/>
        <v>0</v>
      </c>
      <c r="Y8" s="155">
        <f t="shared" si="15"/>
        <v>0</v>
      </c>
      <c r="Z8" s="155">
        <f t="shared" si="16"/>
        <v>0</v>
      </c>
      <c r="AA8" s="155">
        <f t="shared" si="17"/>
        <v>0</v>
      </c>
      <c r="AB8" s="155">
        <f t="shared" si="18"/>
        <v>0</v>
      </c>
      <c r="AC8" s="211" t="str">
        <f t="shared" si="19"/>
        <v>OK</v>
      </c>
      <c r="AD8" s="211"/>
      <c r="AE8" s="155">
        <f t="shared" si="20"/>
        <v>0</v>
      </c>
      <c r="AF8" s="155">
        <f t="shared" si="21"/>
        <v>0</v>
      </c>
      <c r="AG8" s="155">
        <f t="shared" si="22"/>
        <v>0</v>
      </c>
      <c r="AH8" s="155">
        <f t="shared" si="23"/>
        <v>0</v>
      </c>
      <c r="AI8" s="155">
        <f t="shared" si="24"/>
        <v>0</v>
      </c>
      <c r="AJ8" s="211" t="str">
        <f t="shared" si="2"/>
        <v>OK</v>
      </c>
      <c r="AK8" s="211"/>
      <c r="AL8" s="155">
        <f t="shared" si="25"/>
        <v>0</v>
      </c>
      <c r="AM8" s="155">
        <f t="shared" si="26"/>
        <v>0</v>
      </c>
      <c r="AN8" s="155">
        <f t="shared" si="27"/>
        <v>0</v>
      </c>
      <c r="AO8" s="155">
        <f t="shared" si="28"/>
        <v>0</v>
      </c>
      <c r="AP8" s="155">
        <f t="shared" si="29"/>
        <v>0</v>
      </c>
      <c r="AQ8" s="211" t="str">
        <f t="shared" si="30"/>
        <v>OK</v>
      </c>
      <c r="AR8" s="211">
        <f t="shared" si="31"/>
        <v>0</v>
      </c>
      <c r="AS8" s="211"/>
    </row>
    <row r="9" spans="1:45" s="23" customFormat="1" ht="18.75">
      <c r="A9" s="118">
        <v>7</v>
      </c>
      <c r="B9" s="103"/>
      <c r="C9" s="101"/>
      <c r="D9" s="208"/>
      <c r="E9" s="198">
        <f>E8</f>
        <v>0.6</v>
      </c>
      <c r="F9" s="194">
        <f>F8</f>
        <v>0.2</v>
      </c>
      <c r="G9" s="195">
        <f t="shared" si="0"/>
        <v>0.15000000000000002</v>
      </c>
      <c r="H9" s="200">
        <f t="shared" si="3"/>
        <v>0.05</v>
      </c>
      <c r="I9" s="83"/>
      <c r="J9" s="155">
        <f t="shared" si="4"/>
        <v>0</v>
      </c>
      <c r="K9" s="155">
        <f t="shared" si="5"/>
        <v>0</v>
      </c>
      <c r="L9" s="155">
        <f t="shared" si="6"/>
        <v>0</v>
      </c>
      <c r="M9" s="155">
        <f t="shared" si="7"/>
        <v>0</v>
      </c>
      <c r="N9" s="155">
        <f t="shared" si="8"/>
        <v>0</v>
      </c>
      <c r="O9" s="211" t="str">
        <f>IF(J9-SUM(K9:N9)=0,"OK","Error!")</f>
        <v>OK</v>
      </c>
      <c r="P9" s="211"/>
      <c r="Q9" s="155">
        <f t="shared" si="33"/>
        <v>0</v>
      </c>
      <c r="R9" s="155">
        <f t="shared" si="10"/>
        <v>0</v>
      </c>
      <c r="S9" s="155">
        <f t="shared" si="11"/>
        <v>0</v>
      </c>
      <c r="T9" s="155">
        <f t="shared" si="12"/>
        <v>0</v>
      </c>
      <c r="U9" s="155">
        <f t="shared" si="13"/>
        <v>0</v>
      </c>
      <c r="V9" s="211" t="str">
        <f t="shared" si="1"/>
        <v>OK</v>
      </c>
      <c r="W9" s="211"/>
      <c r="X9" s="155">
        <f t="shared" si="14"/>
        <v>0</v>
      </c>
      <c r="Y9" s="155">
        <f t="shared" si="15"/>
        <v>0</v>
      </c>
      <c r="Z9" s="155">
        <f t="shared" si="16"/>
        <v>0</v>
      </c>
      <c r="AA9" s="155">
        <f t="shared" si="17"/>
        <v>0</v>
      </c>
      <c r="AB9" s="155">
        <f t="shared" si="18"/>
        <v>0</v>
      </c>
      <c r="AC9" s="211" t="str">
        <f t="shared" si="19"/>
        <v>OK</v>
      </c>
      <c r="AD9" s="211"/>
      <c r="AE9" s="155">
        <f t="shared" si="20"/>
        <v>0</v>
      </c>
      <c r="AF9" s="155">
        <f t="shared" si="21"/>
        <v>0</v>
      </c>
      <c r="AG9" s="155">
        <f t="shared" si="22"/>
        <v>0</v>
      </c>
      <c r="AH9" s="155">
        <f t="shared" si="23"/>
        <v>0</v>
      </c>
      <c r="AI9" s="155">
        <f t="shared" si="24"/>
        <v>0</v>
      </c>
      <c r="AJ9" s="211" t="str">
        <f t="shared" si="2"/>
        <v>OK</v>
      </c>
      <c r="AK9" s="211"/>
      <c r="AL9" s="155">
        <f t="shared" si="25"/>
        <v>0</v>
      </c>
      <c r="AM9" s="155">
        <f t="shared" si="26"/>
        <v>0</v>
      </c>
      <c r="AN9" s="155">
        <f t="shared" si="27"/>
        <v>0</v>
      </c>
      <c r="AO9" s="155">
        <f t="shared" si="28"/>
        <v>0</v>
      </c>
      <c r="AP9" s="155">
        <f t="shared" si="29"/>
        <v>0</v>
      </c>
      <c r="AQ9" s="211" t="str">
        <f t="shared" si="30"/>
        <v>OK</v>
      </c>
      <c r="AR9" s="211">
        <f t="shared" si="31"/>
        <v>0</v>
      </c>
      <c r="AS9" s="211"/>
    </row>
    <row r="10" spans="1:45" ht="18.75">
      <c r="A10" s="118">
        <v>8</v>
      </c>
      <c r="B10" s="103"/>
      <c r="C10" s="101"/>
      <c r="D10" s="208"/>
      <c r="E10" s="202">
        <f>E9</f>
        <v>0.6</v>
      </c>
      <c r="F10" s="203">
        <f>F9</f>
        <v>0.2</v>
      </c>
      <c r="G10" s="204">
        <f t="shared" si="0"/>
        <v>0.15000000000000002</v>
      </c>
      <c r="H10" s="205">
        <f t="shared" si="3"/>
        <v>0.05</v>
      </c>
      <c r="I10" s="83"/>
      <c r="J10" s="155">
        <f t="shared" si="4"/>
        <v>0</v>
      </c>
      <c r="K10" s="155">
        <f t="shared" si="5"/>
        <v>0</v>
      </c>
      <c r="L10" s="155">
        <f t="shared" si="6"/>
        <v>0</v>
      </c>
      <c r="M10" s="155">
        <f t="shared" si="7"/>
        <v>0</v>
      </c>
      <c r="N10" s="155">
        <f t="shared" si="8"/>
        <v>0</v>
      </c>
      <c r="O10" s="211" t="str">
        <f t="shared" si="9"/>
        <v>OK</v>
      </c>
      <c r="P10" s="211"/>
      <c r="Q10" s="155">
        <f t="shared" si="33"/>
        <v>0</v>
      </c>
      <c r="R10" s="155">
        <f t="shared" si="10"/>
        <v>0</v>
      </c>
      <c r="S10" s="155">
        <f t="shared" si="11"/>
        <v>0</v>
      </c>
      <c r="T10" s="155">
        <f t="shared" si="12"/>
        <v>0</v>
      </c>
      <c r="U10" s="155">
        <f t="shared" si="13"/>
        <v>0</v>
      </c>
      <c r="V10" s="211" t="str">
        <f t="shared" si="1"/>
        <v>OK</v>
      </c>
      <c r="W10" s="211"/>
      <c r="X10" s="155">
        <f t="shared" si="14"/>
        <v>0</v>
      </c>
      <c r="Y10" s="155">
        <f t="shared" si="15"/>
        <v>0</v>
      </c>
      <c r="Z10" s="155">
        <f t="shared" si="16"/>
        <v>0</v>
      </c>
      <c r="AA10" s="155">
        <f t="shared" si="17"/>
        <v>0</v>
      </c>
      <c r="AB10" s="155">
        <f t="shared" si="18"/>
        <v>0</v>
      </c>
      <c r="AC10" s="211" t="str">
        <f t="shared" si="19"/>
        <v>OK</v>
      </c>
      <c r="AD10" s="211"/>
      <c r="AE10" s="155">
        <f t="shared" si="20"/>
        <v>0</v>
      </c>
      <c r="AF10" s="155">
        <f t="shared" si="21"/>
        <v>0</v>
      </c>
      <c r="AG10" s="155">
        <f t="shared" si="22"/>
        <v>0</v>
      </c>
      <c r="AH10" s="155">
        <f t="shared" si="23"/>
        <v>0</v>
      </c>
      <c r="AI10" s="155">
        <f t="shared" si="24"/>
        <v>0</v>
      </c>
      <c r="AJ10" s="211" t="str">
        <f t="shared" si="2"/>
        <v>OK</v>
      </c>
      <c r="AK10" s="211"/>
      <c r="AL10" s="155">
        <f t="shared" si="25"/>
        <v>0</v>
      </c>
      <c r="AM10" s="155">
        <f t="shared" si="26"/>
        <v>0</v>
      </c>
      <c r="AN10" s="155">
        <f t="shared" si="27"/>
        <v>0</v>
      </c>
      <c r="AO10" s="155">
        <f t="shared" si="28"/>
        <v>0</v>
      </c>
      <c r="AP10" s="155">
        <f t="shared" si="29"/>
        <v>0</v>
      </c>
      <c r="AQ10" s="211" t="str">
        <f t="shared" si="30"/>
        <v>OK</v>
      </c>
      <c r="AR10" s="211">
        <f t="shared" si="31"/>
        <v>0</v>
      </c>
      <c r="AS10" s="211"/>
    </row>
    <row r="11" spans="1:45" ht="19.5" thickBot="1">
      <c r="A11" s="95"/>
      <c r="B11" s="109" t="s">
        <v>195</v>
      </c>
      <c r="C11" s="87"/>
      <c r="D11" s="99">
        <f>SUM(D3:D10)</f>
        <v>2000</v>
      </c>
      <c r="E11" s="111"/>
      <c r="F11" s="111"/>
      <c r="G11" s="111"/>
      <c r="H11" s="111"/>
      <c r="I11" s="83"/>
      <c r="J11" s="137">
        <f>SUM(J3:J10)</f>
        <v>2000</v>
      </c>
      <c r="K11" s="137">
        <f>SUM(K3:K10)</f>
        <v>500</v>
      </c>
      <c r="L11" s="137">
        <f>SUM(L3:L10)</f>
        <v>1500</v>
      </c>
      <c r="M11" s="137">
        <f>SUM(M3:M10)</f>
        <v>0</v>
      </c>
      <c r="N11" s="137">
        <f>SUM(N3:N10)</f>
        <v>0</v>
      </c>
      <c r="O11" s="211" t="str">
        <f t="shared" si="9"/>
        <v>OK</v>
      </c>
      <c r="P11" s="211"/>
      <c r="Q11" s="137">
        <f>SUM(Q3:Q10)</f>
        <v>1200</v>
      </c>
      <c r="R11" s="137">
        <f>SUM(R3:R10)</f>
        <v>300</v>
      </c>
      <c r="S11" s="137">
        <f>SUM(S3:S10)</f>
        <v>900</v>
      </c>
      <c r="T11" s="137">
        <f>SUM(T3:T10)</f>
        <v>0</v>
      </c>
      <c r="U11" s="137">
        <f>SUM(U3:U10)</f>
        <v>0</v>
      </c>
      <c r="V11" s="211" t="str">
        <f t="shared" si="1"/>
        <v>OK</v>
      </c>
      <c r="W11" s="211"/>
      <c r="X11" s="137">
        <f>SUM(X3:X10)</f>
        <v>400</v>
      </c>
      <c r="Y11" s="137">
        <f>SUM(Y3:Y10)</f>
        <v>100</v>
      </c>
      <c r="Z11" s="137">
        <f>SUM(Z3:Z10)</f>
        <v>300</v>
      </c>
      <c r="AA11" s="137">
        <f>SUM(AA3:AA10)</f>
        <v>0</v>
      </c>
      <c r="AB11" s="137">
        <f>SUM(AB3:AB10)</f>
        <v>0</v>
      </c>
      <c r="AC11" s="211" t="str">
        <f>IF(X11-SUM(Y11:AB11)=0,"OK","Error!")</f>
        <v>OK</v>
      </c>
      <c r="AD11" s="211"/>
      <c r="AE11" s="137">
        <f>SUM(AE3:AE10)</f>
        <v>300</v>
      </c>
      <c r="AF11" s="137">
        <f>SUM(AF3:AF10)</f>
        <v>75</v>
      </c>
      <c r="AG11" s="137">
        <f>SUM(AG3:AG10)</f>
        <v>225</v>
      </c>
      <c r="AH11" s="137">
        <f>SUM(AH3:AH10)</f>
        <v>0</v>
      </c>
      <c r="AI11" s="137">
        <f>SUM(AI3:AI10)</f>
        <v>0</v>
      </c>
      <c r="AJ11" s="211" t="str">
        <f t="shared" si="2"/>
        <v>OK</v>
      </c>
      <c r="AK11" s="211"/>
      <c r="AL11" s="137">
        <f>SUM(AL3:AL10)</f>
        <v>100</v>
      </c>
      <c r="AM11" s="137">
        <f>SUM(AM3:AM10)</f>
        <v>25</v>
      </c>
      <c r="AN11" s="137">
        <f>SUM(AN3:AN10)</f>
        <v>75</v>
      </c>
      <c r="AO11" s="137">
        <f>SUM(AO3:AO10)</f>
        <v>0</v>
      </c>
      <c r="AP11" s="137">
        <f>SUM(AP3:AP10)</f>
        <v>0</v>
      </c>
      <c r="AQ11" s="211" t="str">
        <f>IF(AL11-SUM(AM11:AP11)=0,"OK","Error!")</f>
        <v>OK</v>
      </c>
      <c r="AR11" s="211">
        <f t="shared" si="31"/>
        <v>0</v>
      </c>
      <c r="AS11" s="211"/>
    </row>
    <row r="12" spans="1:45" s="23" customFormat="1" ht="19.5" thickBot="1">
      <c r="A12" s="96"/>
      <c r="B12" s="104"/>
      <c r="D12" s="83"/>
      <c r="E12" s="154"/>
      <c r="F12" s="154"/>
      <c r="G12" s="154"/>
      <c r="H12" s="154"/>
      <c r="I12" s="83"/>
      <c r="J12" s="132"/>
      <c r="K12" s="132"/>
      <c r="L12" s="132"/>
      <c r="M12" s="132"/>
      <c r="N12" s="132"/>
      <c r="O12" s="211"/>
      <c r="P12" s="211"/>
      <c r="Q12" s="132"/>
      <c r="R12" s="132"/>
      <c r="S12" s="132"/>
      <c r="T12" s="132"/>
      <c r="U12" s="132"/>
      <c r="V12" s="211"/>
      <c r="W12" s="211"/>
      <c r="X12" s="132"/>
      <c r="Y12" s="132"/>
      <c r="Z12" s="132"/>
      <c r="AA12" s="132"/>
      <c r="AB12" s="132"/>
      <c r="AC12" s="211"/>
      <c r="AD12" s="211"/>
      <c r="AE12" s="132"/>
      <c r="AF12" s="132"/>
      <c r="AG12" s="132"/>
      <c r="AH12" s="132"/>
      <c r="AI12" s="132"/>
      <c r="AJ12" s="211"/>
      <c r="AK12" s="211"/>
      <c r="AL12" s="132"/>
      <c r="AM12" s="132"/>
      <c r="AN12" s="132"/>
      <c r="AO12" s="132"/>
      <c r="AP12" s="132"/>
      <c r="AQ12" s="211"/>
      <c r="AR12" s="211"/>
      <c r="AS12" s="211"/>
    </row>
    <row r="13" spans="1:45" ht="18.75">
      <c r="A13" s="94" t="s">
        <v>197</v>
      </c>
      <c r="B13" s="105"/>
      <c r="C13" s="100"/>
      <c r="D13" s="86"/>
      <c r="E13" s="111"/>
      <c r="F13" s="111"/>
      <c r="G13" s="111"/>
      <c r="H13" s="111"/>
      <c r="I13" s="83"/>
      <c r="J13" s="155"/>
      <c r="K13" s="211"/>
      <c r="L13" s="211"/>
      <c r="M13" s="211"/>
      <c r="N13" s="211"/>
      <c r="O13" s="211"/>
      <c r="P13" s="211"/>
      <c r="Q13" s="155"/>
      <c r="R13" s="211"/>
      <c r="S13" s="211"/>
      <c r="T13" s="211"/>
      <c r="U13" s="211"/>
      <c r="V13" s="211"/>
      <c r="W13" s="211"/>
      <c r="X13" s="155"/>
      <c r="Y13" s="211"/>
      <c r="Z13" s="211"/>
      <c r="AA13" s="211"/>
      <c r="AB13" s="211"/>
      <c r="AC13" s="211"/>
      <c r="AD13" s="211"/>
      <c r="AE13" s="155"/>
      <c r="AF13" s="211"/>
      <c r="AG13" s="211"/>
      <c r="AH13" s="211"/>
      <c r="AI13" s="211"/>
      <c r="AJ13" s="211"/>
      <c r="AK13" s="211"/>
      <c r="AL13" s="155"/>
      <c r="AM13" s="211"/>
      <c r="AN13" s="211"/>
      <c r="AO13" s="211"/>
      <c r="AP13" s="211"/>
      <c r="AQ13" s="211"/>
      <c r="AR13" s="211"/>
      <c r="AS13" s="211"/>
    </row>
    <row r="14" spans="1:45" ht="18.75">
      <c r="A14" s="118">
        <v>1</v>
      </c>
      <c r="B14" s="106" t="s">
        <v>192</v>
      </c>
      <c r="C14" s="4" t="s">
        <v>185</v>
      </c>
      <c r="D14" s="208">
        <v>1800</v>
      </c>
      <c r="E14" s="196">
        <v>0.6</v>
      </c>
      <c r="F14" s="192">
        <v>0.2</v>
      </c>
      <c r="G14" s="193">
        <f>1-E14-F14-H14</f>
        <v>0.15000000000000002</v>
      </c>
      <c r="H14" s="197">
        <v>0.05</v>
      </c>
      <c r="I14" s="83"/>
      <c r="J14" s="155">
        <f aca="true" t="shared" si="34" ref="J14:J21">$D14</f>
        <v>1800</v>
      </c>
      <c r="K14" s="155">
        <f aca="true" t="shared" si="35" ref="K14:K21">IF($C14=1,J14,IF($C14="All",ROUND(J14/4,0),0))</f>
        <v>450</v>
      </c>
      <c r="L14" s="155">
        <f aca="true" t="shared" si="36" ref="L14:L21">IF($C14=2,J14,IF($C14="All",ROUND(J14/4,0),0))</f>
        <v>450</v>
      </c>
      <c r="M14" s="155">
        <f aca="true" t="shared" si="37" ref="M14:M21">IF($C14=3,$J14,IF($C14="All",ROUND(J14/4,0),0))</f>
        <v>450</v>
      </c>
      <c r="N14" s="155">
        <f aca="true" t="shared" si="38" ref="N14:N21">J14-SUM(K14:M14)</f>
        <v>450</v>
      </c>
      <c r="O14" s="211" t="str">
        <f>IF(J14-SUM(K14:N14)=0,"OK","Error!")</f>
        <v>OK</v>
      </c>
      <c r="P14" s="211"/>
      <c r="Q14" s="155">
        <f aca="true" t="shared" si="39" ref="Q14:Q21">$J14*E14</f>
        <v>1080</v>
      </c>
      <c r="R14" s="155">
        <f aca="true" t="shared" si="40" ref="R14:R21">IF($C14=1,Q14,IF($C14="All",ROUND(Q14/4,0),0))</f>
        <v>270</v>
      </c>
      <c r="S14" s="155">
        <f aca="true" t="shared" si="41" ref="S14:S21">IF($C14=2,Q14,IF($C14="All",ROUND(Q14/4,0),0))</f>
        <v>270</v>
      </c>
      <c r="T14" s="155">
        <f aca="true" t="shared" si="42" ref="T14:T21">IF($C14=3,$J14,IF($C14="All",ROUND(Q14/4,0),0))</f>
        <v>270</v>
      </c>
      <c r="U14" s="155">
        <f aca="true" t="shared" si="43" ref="U14:U21">Q14-SUM(R14:T14)</f>
        <v>270</v>
      </c>
      <c r="V14" s="211" t="str">
        <f>IF(Q14-SUM(R14:U14)=0,"OK","Error!")</f>
        <v>OK</v>
      </c>
      <c r="W14" s="211"/>
      <c r="X14" s="155">
        <f aca="true" t="shared" si="44" ref="X14:X21">$J14*F14</f>
        <v>360</v>
      </c>
      <c r="Y14" s="155">
        <f aca="true" t="shared" si="45" ref="Y14:Y21">IF($C14=1,X14,IF($C14="All",ROUND(X14/4,0),0))</f>
        <v>90</v>
      </c>
      <c r="Z14" s="155">
        <f aca="true" t="shared" si="46" ref="Z14:Z21">IF($C14=2,X14,IF($C14="All",ROUND(X14/4,0),0))</f>
        <v>90</v>
      </c>
      <c r="AA14" s="155">
        <f aca="true" t="shared" si="47" ref="AA14:AA21">IF($C14=3,$J14,IF($C14="All",ROUND(X14/4,0),0))</f>
        <v>90</v>
      </c>
      <c r="AB14" s="155">
        <f aca="true" t="shared" si="48" ref="AB14:AB21">X14-SUM(Y14:AA14)</f>
        <v>90</v>
      </c>
      <c r="AC14" s="211" t="str">
        <f aca="true" t="shared" si="49" ref="AC14:AC21">IF(X14-SUM(Y14:AB14)=0,"OK","Error!")</f>
        <v>OK</v>
      </c>
      <c r="AD14" s="211"/>
      <c r="AE14" s="155">
        <f>ROUND($J14*G14,2)</f>
        <v>270</v>
      </c>
      <c r="AF14" s="155">
        <f>IF($C14=1,AE14,IF($C14="All",ROUND(AE14/4,2),0))</f>
        <v>67.5</v>
      </c>
      <c r="AG14" s="155">
        <f>IF($C14=2,AE14,IF($C14="All",ROUND(AE14/4,2),0))</f>
        <v>67.5</v>
      </c>
      <c r="AH14" s="155">
        <f>IF($C14=3,$J14,IF($C14="All",ROUND(AE14/4,2),0))</f>
        <v>67.5</v>
      </c>
      <c r="AI14" s="155">
        <f aca="true" t="shared" si="50" ref="AI14:AI21">AE14-SUM(AF14:AH14)</f>
        <v>67.5</v>
      </c>
      <c r="AJ14" s="211" t="str">
        <f aca="true" t="shared" si="51" ref="AJ14:AJ22">IF(AE14-SUM(AF14:AI14)=0,"OK","Error!")</f>
        <v>OK</v>
      </c>
      <c r="AK14" s="211"/>
      <c r="AL14" s="155">
        <f>ROUND($J14*H14,2)</f>
        <v>90</v>
      </c>
      <c r="AM14" s="155">
        <f>IF($C14=1,AL14,IF($C14="All",ROUND(AL14/4,2),0))</f>
        <v>22.5</v>
      </c>
      <c r="AN14" s="155">
        <f>IF($C14=2,AL14,IF($C14="All",ROUND(AL14/4,2),0))</f>
        <v>22.5</v>
      </c>
      <c r="AO14" s="155">
        <f>IF($C14=3,$J14,IF($C14="All",ROUND(AL14/4,2),0))</f>
        <v>22.5</v>
      </c>
      <c r="AP14" s="155">
        <f aca="true" t="shared" si="52" ref="AP14:AP21">AL14-SUM(AM14:AO14)</f>
        <v>22.5</v>
      </c>
      <c r="AQ14" s="211" t="str">
        <f aca="true" t="shared" si="53" ref="AQ14:AQ21">IF(AL14-SUM(AM14:AP14)=0,"OK","Error!")</f>
        <v>OK</v>
      </c>
      <c r="AR14" s="211">
        <f t="shared" si="31"/>
        <v>0</v>
      </c>
      <c r="AS14" s="211"/>
    </row>
    <row r="15" spans="1:45" ht="18.75">
      <c r="A15" s="118">
        <v>2</v>
      </c>
      <c r="B15" s="106" t="s">
        <v>193</v>
      </c>
      <c r="C15" s="4" t="s">
        <v>185</v>
      </c>
      <c r="D15" s="208">
        <v>180</v>
      </c>
      <c r="E15" s="198">
        <f>E14</f>
        <v>0.6</v>
      </c>
      <c r="F15" s="194">
        <f>F14</f>
        <v>0.2</v>
      </c>
      <c r="G15" s="195">
        <f aca="true" t="shared" si="54" ref="G15:G21">1-E15-F15-H15</f>
        <v>0.15000000000000002</v>
      </c>
      <c r="H15" s="200">
        <f>H14</f>
        <v>0.05</v>
      </c>
      <c r="I15" s="83"/>
      <c r="J15" s="155">
        <f t="shared" si="34"/>
        <v>180</v>
      </c>
      <c r="K15" s="155">
        <f t="shared" si="35"/>
        <v>45</v>
      </c>
      <c r="L15" s="155">
        <f t="shared" si="36"/>
        <v>45</v>
      </c>
      <c r="M15" s="155">
        <f t="shared" si="37"/>
        <v>45</v>
      </c>
      <c r="N15" s="155">
        <f t="shared" si="38"/>
        <v>45</v>
      </c>
      <c r="O15" s="211" t="str">
        <f aca="true" t="shared" si="55" ref="O15:O22">IF(J15-SUM(K15:N15)=0,"OK","Error!")</f>
        <v>OK</v>
      </c>
      <c r="P15" s="211"/>
      <c r="Q15" s="155">
        <f t="shared" si="39"/>
        <v>108</v>
      </c>
      <c r="R15" s="155">
        <f t="shared" si="40"/>
        <v>27</v>
      </c>
      <c r="S15" s="155">
        <f t="shared" si="41"/>
        <v>27</v>
      </c>
      <c r="T15" s="155">
        <f t="shared" si="42"/>
        <v>27</v>
      </c>
      <c r="U15" s="155">
        <f t="shared" si="43"/>
        <v>27</v>
      </c>
      <c r="V15" s="211" t="str">
        <f aca="true" t="shared" si="56" ref="V15:V22">IF(Q15-SUM(R15:U15)=0,"OK","Error!")</f>
        <v>OK</v>
      </c>
      <c r="W15" s="211"/>
      <c r="X15" s="155">
        <f t="shared" si="44"/>
        <v>36</v>
      </c>
      <c r="Y15" s="155">
        <f t="shared" si="45"/>
        <v>9</v>
      </c>
      <c r="Z15" s="155">
        <f t="shared" si="46"/>
        <v>9</v>
      </c>
      <c r="AA15" s="155">
        <f t="shared" si="47"/>
        <v>9</v>
      </c>
      <c r="AB15" s="155">
        <f t="shared" si="48"/>
        <v>9</v>
      </c>
      <c r="AC15" s="211" t="str">
        <f t="shared" si="49"/>
        <v>OK</v>
      </c>
      <c r="AD15" s="211"/>
      <c r="AE15" s="155">
        <f aca="true" t="shared" si="57" ref="AE15:AE21">ROUND($J15*G15,2)</f>
        <v>27</v>
      </c>
      <c r="AF15" s="155">
        <f aca="true" t="shared" si="58" ref="AF15:AF21">IF($C15=1,AE15,IF($C15="All",ROUND(AE15/4,2),0))</f>
        <v>6.75</v>
      </c>
      <c r="AG15" s="155">
        <f aca="true" t="shared" si="59" ref="AG15:AG21">IF($C15=2,AE15,IF($C15="All",ROUND(AE15/4,2),0))</f>
        <v>6.75</v>
      </c>
      <c r="AH15" s="155">
        <f aca="true" t="shared" si="60" ref="AH15:AH21">IF($C15=3,$J15,IF($C15="All",ROUND(AE15/4,2),0))</f>
        <v>6.75</v>
      </c>
      <c r="AI15" s="155">
        <f t="shared" si="50"/>
        <v>6.75</v>
      </c>
      <c r="AJ15" s="211" t="str">
        <f t="shared" si="51"/>
        <v>OK</v>
      </c>
      <c r="AK15" s="211"/>
      <c r="AL15" s="155">
        <f aca="true" t="shared" si="61" ref="AL15:AL21">ROUND($J15*H15,2)</f>
        <v>9</v>
      </c>
      <c r="AM15" s="155">
        <f aca="true" t="shared" si="62" ref="AM15:AM21">IF($C15=1,AL15,IF($C15="All",ROUND(AL15/4,2),0))</f>
        <v>2.25</v>
      </c>
      <c r="AN15" s="155">
        <f aca="true" t="shared" si="63" ref="AN15:AN21">IF($C15=2,AL15,IF($C15="All",ROUND(AL15/4,2),0))</f>
        <v>2.25</v>
      </c>
      <c r="AO15" s="155">
        <f aca="true" t="shared" si="64" ref="AO15:AO21">IF($C15=3,$J15,IF($C15="All",ROUND(AL15/4,2),0))</f>
        <v>2.25</v>
      </c>
      <c r="AP15" s="155">
        <f t="shared" si="52"/>
        <v>2.25</v>
      </c>
      <c r="AQ15" s="211" t="str">
        <f t="shared" si="53"/>
        <v>OK</v>
      </c>
      <c r="AR15" s="211">
        <f t="shared" si="31"/>
        <v>0</v>
      </c>
      <c r="AS15" s="211"/>
    </row>
    <row r="16" spans="1:45" s="23" customFormat="1" ht="18.75">
      <c r="A16" s="118">
        <v>3</v>
      </c>
      <c r="B16" s="107" t="s">
        <v>303</v>
      </c>
      <c r="C16" s="101">
        <v>1</v>
      </c>
      <c r="D16" s="208">
        <v>1800</v>
      </c>
      <c r="E16" s="198">
        <f aca="true" t="shared" si="65" ref="E16:E21">E15</f>
        <v>0.6</v>
      </c>
      <c r="F16" s="194">
        <f aca="true" t="shared" si="66" ref="F16:F21">F15</f>
        <v>0.2</v>
      </c>
      <c r="G16" s="195">
        <f t="shared" si="54"/>
        <v>0.15000000000000002</v>
      </c>
      <c r="H16" s="200">
        <f aca="true" t="shared" si="67" ref="H16:H21">H15</f>
        <v>0.05</v>
      </c>
      <c r="I16" s="83"/>
      <c r="J16" s="155">
        <f t="shared" si="34"/>
        <v>1800</v>
      </c>
      <c r="K16" s="155">
        <f t="shared" si="35"/>
        <v>1800</v>
      </c>
      <c r="L16" s="155">
        <f t="shared" si="36"/>
        <v>0</v>
      </c>
      <c r="M16" s="155">
        <f t="shared" si="37"/>
        <v>0</v>
      </c>
      <c r="N16" s="155">
        <f t="shared" si="38"/>
        <v>0</v>
      </c>
      <c r="O16" s="211" t="str">
        <f t="shared" si="55"/>
        <v>OK</v>
      </c>
      <c r="P16" s="211"/>
      <c r="Q16" s="155">
        <f t="shared" si="39"/>
        <v>1080</v>
      </c>
      <c r="R16" s="155">
        <f t="shared" si="40"/>
        <v>1080</v>
      </c>
      <c r="S16" s="155">
        <f t="shared" si="41"/>
        <v>0</v>
      </c>
      <c r="T16" s="155">
        <f t="shared" si="42"/>
        <v>0</v>
      </c>
      <c r="U16" s="155">
        <f t="shared" si="43"/>
        <v>0</v>
      </c>
      <c r="V16" s="211" t="str">
        <f t="shared" si="56"/>
        <v>OK</v>
      </c>
      <c r="W16" s="211"/>
      <c r="X16" s="155">
        <f t="shared" si="44"/>
        <v>360</v>
      </c>
      <c r="Y16" s="155">
        <f t="shared" si="45"/>
        <v>360</v>
      </c>
      <c r="Z16" s="155">
        <f t="shared" si="46"/>
        <v>0</v>
      </c>
      <c r="AA16" s="155">
        <f t="shared" si="47"/>
        <v>0</v>
      </c>
      <c r="AB16" s="155">
        <f t="shared" si="48"/>
        <v>0</v>
      </c>
      <c r="AC16" s="211" t="str">
        <f t="shared" si="49"/>
        <v>OK</v>
      </c>
      <c r="AD16" s="211"/>
      <c r="AE16" s="155">
        <f t="shared" si="57"/>
        <v>270</v>
      </c>
      <c r="AF16" s="155">
        <f t="shared" si="58"/>
        <v>270</v>
      </c>
      <c r="AG16" s="155">
        <f t="shared" si="59"/>
        <v>0</v>
      </c>
      <c r="AH16" s="155">
        <f t="shared" si="60"/>
        <v>0</v>
      </c>
      <c r="AI16" s="155">
        <f t="shared" si="50"/>
        <v>0</v>
      </c>
      <c r="AJ16" s="211" t="str">
        <f t="shared" si="51"/>
        <v>OK</v>
      </c>
      <c r="AK16" s="211"/>
      <c r="AL16" s="155">
        <f t="shared" si="61"/>
        <v>90</v>
      </c>
      <c r="AM16" s="155">
        <f t="shared" si="62"/>
        <v>90</v>
      </c>
      <c r="AN16" s="155">
        <f t="shared" si="63"/>
        <v>0</v>
      </c>
      <c r="AO16" s="155">
        <f t="shared" si="64"/>
        <v>0</v>
      </c>
      <c r="AP16" s="155">
        <f t="shared" si="52"/>
        <v>0</v>
      </c>
      <c r="AQ16" s="211" t="str">
        <f t="shared" si="53"/>
        <v>OK</v>
      </c>
      <c r="AR16" s="211">
        <f t="shared" si="31"/>
        <v>0</v>
      </c>
      <c r="AS16" s="211"/>
    </row>
    <row r="17" spans="1:45" s="23" customFormat="1" ht="18.75">
      <c r="A17" s="118">
        <v>4</v>
      </c>
      <c r="B17" s="107"/>
      <c r="C17" s="101"/>
      <c r="D17" s="208"/>
      <c r="E17" s="198">
        <f t="shared" si="65"/>
        <v>0.6</v>
      </c>
      <c r="F17" s="194">
        <f t="shared" si="66"/>
        <v>0.2</v>
      </c>
      <c r="G17" s="195">
        <f t="shared" si="54"/>
        <v>0.15000000000000002</v>
      </c>
      <c r="H17" s="200">
        <f t="shared" si="67"/>
        <v>0.05</v>
      </c>
      <c r="I17" s="83"/>
      <c r="J17" s="155">
        <f t="shared" si="34"/>
        <v>0</v>
      </c>
      <c r="K17" s="155">
        <f t="shared" si="35"/>
        <v>0</v>
      </c>
      <c r="L17" s="155">
        <f t="shared" si="36"/>
        <v>0</v>
      </c>
      <c r="M17" s="155">
        <f t="shared" si="37"/>
        <v>0</v>
      </c>
      <c r="N17" s="155">
        <f t="shared" si="38"/>
        <v>0</v>
      </c>
      <c r="O17" s="211" t="str">
        <f t="shared" si="55"/>
        <v>OK</v>
      </c>
      <c r="P17" s="211"/>
      <c r="Q17" s="155">
        <f t="shared" si="39"/>
        <v>0</v>
      </c>
      <c r="R17" s="155">
        <f t="shared" si="40"/>
        <v>0</v>
      </c>
      <c r="S17" s="155">
        <f t="shared" si="41"/>
        <v>0</v>
      </c>
      <c r="T17" s="155">
        <f t="shared" si="42"/>
        <v>0</v>
      </c>
      <c r="U17" s="155">
        <f t="shared" si="43"/>
        <v>0</v>
      </c>
      <c r="V17" s="211" t="str">
        <f t="shared" si="56"/>
        <v>OK</v>
      </c>
      <c r="W17" s="211"/>
      <c r="X17" s="155">
        <f t="shared" si="44"/>
        <v>0</v>
      </c>
      <c r="Y17" s="155">
        <f t="shared" si="45"/>
        <v>0</v>
      </c>
      <c r="Z17" s="155">
        <f t="shared" si="46"/>
        <v>0</v>
      </c>
      <c r="AA17" s="155">
        <f t="shared" si="47"/>
        <v>0</v>
      </c>
      <c r="AB17" s="155">
        <f t="shared" si="48"/>
        <v>0</v>
      </c>
      <c r="AC17" s="211" t="str">
        <f t="shared" si="49"/>
        <v>OK</v>
      </c>
      <c r="AD17" s="211"/>
      <c r="AE17" s="155">
        <f t="shared" si="57"/>
        <v>0</v>
      </c>
      <c r="AF17" s="155">
        <f t="shared" si="58"/>
        <v>0</v>
      </c>
      <c r="AG17" s="155">
        <f t="shared" si="59"/>
        <v>0</v>
      </c>
      <c r="AH17" s="155">
        <f t="shared" si="60"/>
        <v>0</v>
      </c>
      <c r="AI17" s="155">
        <f t="shared" si="50"/>
        <v>0</v>
      </c>
      <c r="AJ17" s="211" t="str">
        <f t="shared" si="51"/>
        <v>OK</v>
      </c>
      <c r="AK17" s="211"/>
      <c r="AL17" s="155">
        <f t="shared" si="61"/>
        <v>0</v>
      </c>
      <c r="AM17" s="155">
        <f t="shared" si="62"/>
        <v>0</v>
      </c>
      <c r="AN17" s="155">
        <f t="shared" si="63"/>
        <v>0</v>
      </c>
      <c r="AO17" s="155">
        <f t="shared" si="64"/>
        <v>0</v>
      </c>
      <c r="AP17" s="155">
        <f t="shared" si="52"/>
        <v>0</v>
      </c>
      <c r="AQ17" s="211" t="str">
        <f t="shared" si="53"/>
        <v>OK</v>
      </c>
      <c r="AR17" s="211">
        <f t="shared" si="31"/>
        <v>0</v>
      </c>
      <c r="AS17" s="211"/>
    </row>
    <row r="18" spans="1:45" s="23" customFormat="1" ht="18.75">
      <c r="A18" s="118">
        <v>5</v>
      </c>
      <c r="B18" s="107"/>
      <c r="C18" s="101"/>
      <c r="D18" s="208"/>
      <c r="E18" s="198">
        <f t="shared" si="65"/>
        <v>0.6</v>
      </c>
      <c r="F18" s="194">
        <f t="shared" si="66"/>
        <v>0.2</v>
      </c>
      <c r="G18" s="195">
        <f t="shared" si="54"/>
        <v>0.15000000000000002</v>
      </c>
      <c r="H18" s="200">
        <f t="shared" si="67"/>
        <v>0.05</v>
      </c>
      <c r="I18" s="83"/>
      <c r="J18" s="155">
        <f t="shared" si="34"/>
        <v>0</v>
      </c>
      <c r="K18" s="155">
        <f t="shared" si="35"/>
        <v>0</v>
      </c>
      <c r="L18" s="155">
        <f t="shared" si="36"/>
        <v>0</v>
      </c>
      <c r="M18" s="155">
        <f t="shared" si="37"/>
        <v>0</v>
      </c>
      <c r="N18" s="155">
        <f t="shared" si="38"/>
        <v>0</v>
      </c>
      <c r="O18" s="211" t="str">
        <f t="shared" si="55"/>
        <v>OK</v>
      </c>
      <c r="P18" s="211"/>
      <c r="Q18" s="155">
        <f t="shared" si="39"/>
        <v>0</v>
      </c>
      <c r="R18" s="155">
        <f t="shared" si="40"/>
        <v>0</v>
      </c>
      <c r="S18" s="155">
        <f t="shared" si="41"/>
        <v>0</v>
      </c>
      <c r="T18" s="155">
        <f t="shared" si="42"/>
        <v>0</v>
      </c>
      <c r="U18" s="155">
        <f t="shared" si="43"/>
        <v>0</v>
      </c>
      <c r="V18" s="211" t="str">
        <f t="shared" si="56"/>
        <v>OK</v>
      </c>
      <c r="W18" s="211"/>
      <c r="X18" s="155">
        <f t="shared" si="44"/>
        <v>0</v>
      </c>
      <c r="Y18" s="155">
        <f t="shared" si="45"/>
        <v>0</v>
      </c>
      <c r="Z18" s="155">
        <f t="shared" si="46"/>
        <v>0</v>
      </c>
      <c r="AA18" s="155">
        <f t="shared" si="47"/>
        <v>0</v>
      </c>
      <c r="AB18" s="155">
        <f t="shared" si="48"/>
        <v>0</v>
      </c>
      <c r="AC18" s="211" t="str">
        <f t="shared" si="49"/>
        <v>OK</v>
      </c>
      <c r="AD18" s="211"/>
      <c r="AE18" s="155">
        <f t="shared" si="57"/>
        <v>0</v>
      </c>
      <c r="AF18" s="155">
        <f t="shared" si="58"/>
        <v>0</v>
      </c>
      <c r="AG18" s="155">
        <f t="shared" si="59"/>
        <v>0</v>
      </c>
      <c r="AH18" s="155">
        <f t="shared" si="60"/>
        <v>0</v>
      </c>
      <c r="AI18" s="155">
        <f t="shared" si="50"/>
        <v>0</v>
      </c>
      <c r="AJ18" s="211" t="str">
        <f t="shared" si="51"/>
        <v>OK</v>
      </c>
      <c r="AK18" s="211"/>
      <c r="AL18" s="155">
        <f t="shared" si="61"/>
        <v>0</v>
      </c>
      <c r="AM18" s="155">
        <f t="shared" si="62"/>
        <v>0</v>
      </c>
      <c r="AN18" s="155">
        <f t="shared" si="63"/>
        <v>0</v>
      </c>
      <c r="AO18" s="155">
        <f t="shared" si="64"/>
        <v>0</v>
      </c>
      <c r="AP18" s="155">
        <f t="shared" si="52"/>
        <v>0</v>
      </c>
      <c r="AQ18" s="211" t="str">
        <f t="shared" si="53"/>
        <v>OK</v>
      </c>
      <c r="AR18" s="211">
        <f t="shared" si="31"/>
        <v>0</v>
      </c>
      <c r="AS18" s="211"/>
    </row>
    <row r="19" spans="1:45" s="23" customFormat="1" ht="18.75">
      <c r="A19" s="118">
        <v>6</v>
      </c>
      <c r="B19" s="107"/>
      <c r="C19" s="101"/>
      <c r="D19" s="208"/>
      <c r="E19" s="198">
        <f t="shared" si="65"/>
        <v>0.6</v>
      </c>
      <c r="F19" s="194">
        <f t="shared" si="66"/>
        <v>0.2</v>
      </c>
      <c r="G19" s="195">
        <f t="shared" si="54"/>
        <v>0.15000000000000002</v>
      </c>
      <c r="H19" s="200">
        <f t="shared" si="67"/>
        <v>0.05</v>
      </c>
      <c r="I19" s="83"/>
      <c r="J19" s="155">
        <f t="shared" si="34"/>
        <v>0</v>
      </c>
      <c r="K19" s="155">
        <f t="shared" si="35"/>
        <v>0</v>
      </c>
      <c r="L19" s="155">
        <f t="shared" si="36"/>
        <v>0</v>
      </c>
      <c r="M19" s="155">
        <f t="shared" si="37"/>
        <v>0</v>
      </c>
      <c r="N19" s="155">
        <f t="shared" si="38"/>
        <v>0</v>
      </c>
      <c r="O19" s="211" t="str">
        <f t="shared" si="55"/>
        <v>OK</v>
      </c>
      <c r="P19" s="211"/>
      <c r="Q19" s="155">
        <f t="shared" si="39"/>
        <v>0</v>
      </c>
      <c r="R19" s="155">
        <f t="shared" si="40"/>
        <v>0</v>
      </c>
      <c r="S19" s="155">
        <f t="shared" si="41"/>
        <v>0</v>
      </c>
      <c r="T19" s="155">
        <f t="shared" si="42"/>
        <v>0</v>
      </c>
      <c r="U19" s="155">
        <f t="shared" si="43"/>
        <v>0</v>
      </c>
      <c r="V19" s="211" t="str">
        <f t="shared" si="56"/>
        <v>OK</v>
      </c>
      <c r="W19" s="211"/>
      <c r="X19" s="155">
        <f t="shared" si="44"/>
        <v>0</v>
      </c>
      <c r="Y19" s="155">
        <f t="shared" si="45"/>
        <v>0</v>
      </c>
      <c r="Z19" s="155">
        <f t="shared" si="46"/>
        <v>0</v>
      </c>
      <c r="AA19" s="155">
        <f t="shared" si="47"/>
        <v>0</v>
      </c>
      <c r="AB19" s="155">
        <f t="shared" si="48"/>
        <v>0</v>
      </c>
      <c r="AC19" s="211" t="str">
        <f t="shared" si="49"/>
        <v>OK</v>
      </c>
      <c r="AD19" s="211"/>
      <c r="AE19" s="155">
        <f t="shared" si="57"/>
        <v>0</v>
      </c>
      <c r="AF19" s="155">
        <f t="shared" si="58"/>
        <v>0</v>
      </c>
      <c r="AG19" s="155">
        <f t="shared" si="59"/>
        <v>0</v>
      </c>
      <c r="AH19" s="155">
        <f t="shared" si="60"/>
        <v>0</v>
      </c>
      <c r="AI19" s="155">
        <f t="shared" si="50"/>
        <v>0</v>
      </c>
      <c r="AJ19" s="211" t="str">
        <f t="shared" si="51"/>
        <v>OK</v>
      </c>
      <c r="AK19" s="211"/>
      <c r="AL19" s="155">
        <f t="shared" si="61"/>
        <v>0</v>
      </c>
      <c r="AM19" s="155">
        <f t="shared" si="62"/>
        <v>0</v>
      </c>
      <c r="AN19" s="155">
        <f t="shared" si="63"/>
        <v>0</v>
      </c>
      <c r="AO19" s="155">
        <f t="shared" si="64"/>
        <v>0</v>
      </c>
      <c r="AP19" s="155">
        <f t="shared" si="52"/>
        <v>0</v>
      </c>
      <c r="AQ19" s="211" t="str">
        <f t="shared" si="53"/>
        <v>OK</v>
      </c>
      <c r="AR19" s="211">
        <f t="shared" si="31"/>
        <v>0</v>
      </c>
      <c r="AS19" s="211"/>
    </row>
    <row r="20" spans="1:45" s="23" customFormat="1" ht="18.75">
      <c r="A20" s="118">
        <v>7</v>
      </c>
      <c r="B20" s="107"/>
      <c r="C20" s="101"/>
      <c r="D20" s="208"/>
      <c r="E20" s="198">
        <f t="shared" si="65"/>
        <v>0.6</v>
      </c>
      <c r="F20" s="194">
        <f t="shared" si="66"/>
        <v>0.2</v>
      </c>
      <c r="G20" s="195">
        <f t="shared" si="54"/>
        <v>0.15000000000000002</v>
      </c>
      <c r="H20" s="200">
        <f t="shared" si="67"/>
        <v>0.05</v>
      </c>
      <c r="I20" s="83"/>
      <c r="J20" s="155">
        <f t="shared" si="34"/>
        <v>0</v>
      </c>
      <c r="K20" s="155">
        <f t="shared" si="35"/>
        <v>0</v>
      </c>
      <c r="L20" s="155">
        <f t="shared" si="36"/>
        <v>0</v>
      </c>
      <c r="M20" s="155">
        <f t="shared" si="37"/>
        <v>0</v>
      </c>
      <c r="N20" s="155">
        <f t="shared" si="38"/>
        <v>0</v>
      </c>
      <c r="O20" s="211" t="str">
        <f t="shared" si="55"/>
        <v>OK</v>
      </c>
      <c r="P20" s="211"/>
      <c r="Q20" s="155">
        <f t="shared" si="39"/>
        <v>0</v>
      </c>
      <c r="R20" s="155">
        <f t="shared" si="40"/>
        <v>0</v>
      </c>
      <c r="S20" s="155">
        <f t="shared" si="41"/>
        <v>0</v>
      </c>
      <c r="T20" s="155">
        <f t="shared" si="42"/>
        <v>0</v>
      </c>
      <c r="U20" s="155">
        <f t="shared" si="43"/>
        <v>0</v>
      </c>
      <c r="V20" s="211" t="str">
        <f t="shared" si="56"/>
        <v>OK</v>
      </c>
      <c r="W20" s="211"/>
      <c r="X20" s="155">
        <f t="shared" si="44"/>
        <v>0</v>
      </c>
      <c r="Y20" s="155">
        <f t="shared" si="45"/>
        <v>0</v>
      </c>
      <c r="Z20" s="155">
        <f t="shared" si="46"/>
        <v>0</v>
      </c>
      <c r="AA20" s="155">
        <f t="shared" si="47"/>
        <v>0</v>
      </c>
      <c r="AB20" s="155">
        <f t="shared" si="48"/>
        <v>0</v>
      </c>
      <c r="AC20" s="211" t="str">
        <f t="shared" si="49"/>
        <v>OK</v>
      </c>
      <c r="AD20" s="211"/>
      <c r="AE20" s="155">
        <f t="shared" si="57"/>
        <v>0</v>
      </c>
      <c r="AF20" s="155">
        <f t="shared" si="58"/>
        <v>0</v>
      </c>
      <c r="AG20" s="155">
        <f t="shared" si="59"/>
        <v>0</v>
      </c>
      <c r="AH20" s="155">
        <f t="shared" si="60"/>
        <v>0</v>
      </c>
      <c r="AI20" s="155">
        <f t="shared" si="50"/>
        <v>0</v>
      </c>
      <c r="AJ20" s="211" t="str">
        <f t="shared" si="51"/>
        <v>OK</v>
      </c>
      <c r="AK20" s="211"/>
      <c r="AL20" s="155">
        <f t="shared" si="61"/>
        <v>0</v>
      </c>
      <c r="AM20" s="155">
        <f t="shared" si="62"/>
        <v>0</v>
      </c>
      <c r="AN20" s="155">
        <f t="shared" si="63"/>
        <v>0</v>
      </c>
      <c r="AO20" s="155">
        <f t="shared" si="64"/>
        <v>0</v>
      </c>
      <c r="AP20" s="155">
        <f t="shared" si="52"/>
        <v>0</v>
      </c>
      <c r="AQ20" s="211" t="str">
        <f t="shared" si="53"/>
        <v>OK</v>
      </c>
      <c r="AR20" s="211">
        <f t="shared" si="31"/>
        <v>0</v>
      </c>
      <c r="AS20" s="211"/>
    </row>
    <row r="21" spans="1:45" ht="18.75">
      <c r="A21" s="118">
        <v>8</v>
      </c>
      <c r="B21" s="107"/>
      <c r="C21" s="101"/>
      <c r="D21" s="208"/>
      <c r="E21" s="202">
        <f t="shared" si="65"/>
        <v>0.6</v>
      </c>
      <c r="F21" s="203">
        <f t="shared" si="66"/>
        <v>0.2</v>
      </c>
      <c r="G21" s="204">
        <f t="shared" si="54"/>
        <v>0.15000000000000002</v>
      </c>
      <c r="H21" s="205">
        <f t="shared" si="67"/>
        <v>0.05</v>
      </c>
      <c r="I21" s="83"/>
      <c r="J21" s="155">
        <f t="shared" si="34"/>
        <v>0</v>
      </c>
      <c r="K21" s="155">
        <f t="shared" si="35"/>
        <v>0</v>
      </c>
      <c r="L21" s="155">
        <f t="shared" si="36"/>
        <v>0</v>
      </c>
      <c r="M21" s="155">
        <f t="shared" si="37"/>
        <v>0</v>
      </c>
      <c r="N21" s="155">
        <f t="shared" si="38"/>
        <v>0</v>
      </c>
      <c r="O21" s="211" t="str">
        <f t="shared" si="55"/>
        <v>OK</v>
      </c>
      <c r="P21" s="211"/>
      <c r="Q21" s="155">
        <f t="shared" si="39"/>
        <v>0</v>
      </c>
      <c r="R21" s="155">
        <f t="shared" si="40"/>
        <v>0</v>
      </c>
      <c r="S21" s="155">
        <f t="shared" si="41"/>
        <v>0</v>
      </c>
      <c r="T21" s="155">
        <f t="shared" si="42"/>
        <v>0</v>
      </c>
      <c r="U21" s="155">
        <f t="shared" si="43"/>
        <v>0</v>
      </c>
      <c r="V21" s="211" t="str">
        <f t="shared" si="56"/>
        <v>OK</v>
      </c>
      <c r="W21" s="211"/>
      <c r="X21" s="155">
        <f t="shared" si="44"/>
        <v>0</v>
      </c>
      <c r="Y21" s="155">
        <f t="shared" si="45"/>
        <v>0</v>
      </c>
      <c r="Z21" s="155">
        <f t="shared" si="46"/>
        <v>0</v>
      </c>
      <c r="AA21" s="155">
        <f t="shared" si="47"/>
        <v>0</v>
      </c>
      <c r="AB21" s="155">
        <f t="shared" si="48"/>
        <v>0</v>
      </c>
      <c r="AC21" s="211" t="str">
        <f t="shared" si="49"/>
        <v>OK</v>
      </c>
      <c r="AD21" s="211"/>
      <c r="AE21" s="155">
        <f t="shared" si="57"/>
        <v>0</v>
      </c>
      <c r="AF21" s="155">
        <f t="shared" si="58"/>
        <v>0</v>
      </c>
      <c r="AG21" s="155">
        <f t="shared" si="59"/>
        <v>0</v>
      </c>
      <c r="AH21" s="155">
        <f t="shared" si="60"/>
        <v>0</v>
      </c>
      <c r="AI21" s="155">
        <f t="shared" si="50"/>
        <v>0</v>
      </c>
      <c r="AJ21" s="211" t="str">
        <f t="shared" si="51"/>
        <v>OK</v>
      </c>
      <c r="AK21" s="211"/>
      <c r="AL21" s="155">
        <f t="shared" si="61"/>
        <v>0</v>
      </c>
      <c r="AM21" s="155">
        <f t="shared" si="62"/>
        <v>0</v>
      </c>
      <c r="AN21" s="155">
        <f t="shared" si="63"/>
        <v>0</v>
      </c>
      <c r="AO21" s="155">
        <f t="shared" si="64"/>
        <v>0</v>
      </c>
      <c r="AP21" s="155">
        <f t="shared" si="52"/>
        <v>0</v>
      </c>
      <c r="AQ21" s="211" t="str">
        <f t="shared" si="53"/>
        <v>OK</v>
      </c>
      <c r="AR21" s="211">
        <f t="shared" si="31"/>
        <v>0</v>
      </c>
      <c r="AS21" s="211"/>
    </row>
    <row r="22" spans="1:45" s="57" customFormat="1" ht="19.5" thickBot="1">
      <c r="A22" s="95"/>
      <c r="B22" s="109" t="s">
        <v>195</v>
      </c>
      <c r="C22" s="87"/>
      <c r="D22" s="117">
        <f>SUM(D14:D21)</f>
        <v>3780</v>
      </c>
      <c r="E22" s="111"/>
      <c r="F22" s="111"/>
      <c r="G22" s="111"/>
      <c r="H22" s="111"/>
      <c r="I22" s="111"/>
      <c r="J22" s="137">
        <f>SUM(J14:J21)</f>
        <v>3780</v>
      </c>
      <c r="K22" s="137">
        <f>SUM(K14:K21)</f>
        <v>2295</v>
      </c>
      <c r="L22" s="137">
        <f>SUM(L14:L21)</f>
        <v>495</v>
      </c>
      <c r="M22" s="137">
        <f>SUM(M14:M21)</f>
        <v>495</v>
      </c>
      <c r="N22" s="137">
        <f>SUM(N14:N21)</f>
        <v>495</v>
      </c>
      <c r="O22" s="211" t="str">
        <f t="shared" si="55"/>
        <v>OK</v>
      </c>
      <c r="P22" s="212"/>
      <c r="Q22" s="137">
        <f>SUM(Q14:Q21)</f>
        <v>2268</v>
      </c>
      <c r="R22" s="137">
        <f>SUM(R14:R21)</f>
        <v>1377</v>
      </c>
      <c r="S22" s="137">
        <f>SUM(S14:S21)</f>
        <v>297</v>
      </c>
      <c r="T22" s="137">
        <f>SUM(T14:T21)</f>
        <v>297</v>
      </c>
      <c r="U22" s="137">
        <f>SUM(U14:U21)</f>
        <v>297</v>
      </c>
      <c r="V22" s="211" t="str">
        <f t="shared" si="56"/>
        <v>OK</v>
      </c>
      <c r="W22" s="212"/>
      <c r="X22" s="137">
        <f>SUM(X14:X21)</f>
        <v>756</v>
      </c>
      <c r="Y22" s="137">
        <f>SUM(Y14:Y21)</f>
        <v>459</v>
      </c>
      <c r="Z22" s="137">
        <f>SUM(Z14:Z21)</f>
        <v>99</v>
      </c>
      <c r="AA22" s="137">
        <f>SUM(AA14:AA21)</f>
        <v>99</v>
      </c>
      <c r="AB22" s="137">
        <f>SUM(AB14:AB21)</f>
        <v>99</v>
      </c>
      <c r="AC22" s="211" t="str">
        <f>IF(X22-SUM(Y22:AB22)=0,"OK","Error!")</f>
        <v>OK</v>
      </c>
      <c r="AD22" s="212"/>
      <c r="AE22" s="137">
        <f>SUM(AE14:AE21)</f>
        <v>567</v>
      </c>
      <c r="AF22" s="137">
        <f>SUM(AF14:AF21)</f>
        <v>344.25</v>
      </c>
      <c r="AG22" s="137">
        <f>SUM(AG14:AG21)</f>
        <v>74.25</v>
      </c>
      <c r="AH22" s="137">
        <f>SUM(AH14:AH21)</f>
        <v>74.25</v>
      </c>
      <c r="AI22" s="137">
        <f>SUM(AI14:AI21)</f>
        <v>74.25</v>
      </c>
      <c r="AJ22" s="211" t="str">
        <f t="shared" si="51"/>
        <v>OK</v>
      </c>
      <c r="AK22" s="211"/>
      <c r="AL22" s="137">
        <f>SUM(AL14:AL21)</f>
        <v>189</v>
      </c>
      <c r="AM22" s="137">
        <f>SUM(AM14:AM21)</f>
        <v>114.75</v>
      </c>
      <c r="AN22" s="137">
        <f>SUM(AN14:AN21)</f>
        <v>24.75</v>
      </c>
      <c r="AO22" s="137">
        <f>SUM(AO14:AO21)</f>
        <v>24.75</v>
      </c>
      <c r="AP22" s="137">
        <f>SUM(AP14:AP21)</f>
        <v>24.75</v>
      </c>
      <c r="AQ22" s="211" t="str">
        <f>IF(AL22-SUM(AM22:AP22)=0,"OK","Error!")</f>
        <v>OK</v>
      </c>
      <c r="AR22" s="211">
        <f t="shared" si="31"/>
        <v>0</v>
      </c>
      <c r="AS22" s="212"/>
    </row>
    <row r="23" spans="1:45" s="57" customFormat="1" ht="19.5" thickBot="1">
      <c r="A23" s="112"/>
      <c r="B23" s="110"/>
      <c r="C23" s="4"/>
      <c r="D23" s="111"/>
      <c r="E23" s="111"/>
      <c r="F23" s="111"/>
      <c r="G23" s="111"/>
      <c r="H23" s="111"/>
      <c r="I23" s="111"/>
      <c r="J23" s="132"/>
      <c r="K23" s="132"/>
      <c r="L23" s="132"/>
      <c r="M23" s="132"/>
      <c r="N23" s="132"/>
      <c r="O23" s="212"/>
      <c r="P23" s="212"/>
      <c r="Q23" s="132"/>
      <c r="R23" s="132"/>
      <c r="S23" s="132"/>
      <c r="T23" s="132"/>
      <c r="U23" s="132"/>
      <c r="V23" s="212"/>
      <c r="W23" s="212"/>
      <c r="X23" s="132"/>
      <c r="Y23" s="132"/>
      <c r="Z23" s="132"/>
      <c r="AA23" s="132"/>
      <c r="AB23" s="132"/>
      <c r="AC23" s="212"/>
      <c r="AD23" s="212"/>
      <c r="AE23" s="132"/>
      <c r="AF23" s="132"/>
      <c r="AG23" s="132"/>
      <c r="AH23" s="132"/>
      <c r="AI23" s="132"/>
      <c r="AJ23" s="212"/>
      <c r="AK23" s="212"/>
      <c r="AL23" s="132"/>
      <c r="AM23" s="132"/>
      <c r="AN23" s="132"/>
      <c r="AO23" s="132"/>
      <c r="AP23" s="132"/>
      <c r="AQ23" s="212"/>
      <c r="AR23" s="211"/>
      <c r="AS23" s="212"/>
    </row>
    <row r="24" spans="1:45" ht="18.75">
      <c r="A24" s="94" t="s">
        <v>198</v>
      </c>
      <c r="B24" s="105"/>
      <c r="C24" s="100"/>
      <c r="D24" s="86"/>
      <c r="E24" s="111"/>
      <c r="F24" s="111"/>
      <c r="G24" s="111"/>
      <c r="H24" s="111"/>
      <c r="I24" s="83"/>
      <c r="J24" s="155"/>
      <c r="K24" s="211"/>
      <c r="L24" s="211"/>
      <c r="M24" s="211"/>
      <c r="N24" s="211"/>
      <c r="O24" s="211"/>
      <c r="P24" s="211"/>
      <c r="Q24" s="155"/>
      <c r="R24" s="211"/>
      <c r="S24" s="211"/>
      <c r="T24" s="211"/>
      <c r="U24" s="211"/>
      <c r="V24" s="211"/>
      <c r="W24" s="211"/>
      <c r="X24" s="155"/>
      <c r="Y24" s="211"/>
      <c r="Z24" s="211"/>
      <c r="AA24" s="211"/>
      <c r="AB24" s="211"/>
      <c r="AC24" s="211"/>
      <c r="AD24" s="211"/>
      <c r="AE24" s="155"/>
      <c r="AF24" s="211"/>
      <c r="AG24" s="211"/>
      <c r="AH24" s="211"/>
      <c r="AI24" s="211"/>
      <c r="AJ24" s="211"/>
      <c r="AK24" s="211"/>
      <c r="AL24" s="155"/>
      <c r="AM24" s="211"/>
      <c r="AN24" s="211"/>
      <c r="AO24" s="211"/>
      <c r="AP24" s="211"/>
      <c r="AQ24" s="211"/>
      <c r="AR24" s="211"/>
      <c r="AS24" s="211"/>
    </row>
    <row r="25" spans="1:45" ht="18.75">
      <c r="A25" s="118">
        <v>1</v>
      </c>
      <c r="B25" s="107" t="s">
        <v>325</v>
      </c>
      <c r="C25" s="101">
        <v>1</v>
      </c>
      <c r="D25" s="208">
        <v>100</v>
      </c>
      <c r="E25" s="196">
        <v>0.6</v>
      </c>
      <c r="F25" s="192">
        <v>0.2</v>
      </c>
      <c r="G25" s="193">
        <f>1-E25-F25-H25</f>
        <v>0.15000000000000002</v>
      </c>
      <c r="H25" s="197">
        <v>0.05</v>
      </c>
      <c r="I25" s="83"/>
      <c r="J25" s="155">
        <f aca="true" t="shared" si="68" ref="J25:J32">$D25</f>
        <v>100</v>
      </c>
      <c r="K25" s="155">
        <f aca="true" t="shared" si="69" ref="K25:K32">IF($C25=1,J25,IF($C25="All",ROUND(J25/4,0),0))</f>
        <v>100</v>
      </c>
      <c r="L25" s="155">
        <f aca="true" t="shared" si="70" ref="L25:L32">IF($C25=2,J25,IF($C25="All",ROUND(J25/4,0),0))</f>
        <v>0</v>
      </c>
      <c r="M25" s="155">
        <f aca="true" t="shared" si="71" ref="M25:M32">IF($C25=3,$J25,IF($C25="All",ROUND(J25/4,0),0))</f>
        <v>0</v>
      </c>
      <c r="N25" s="155">
        <f aca="true" t="shared" si="72" ref="N25:N32">J25-SUM(K25:M25)</f>
        <v>0</v>
      </c>
      <c r="O25" s="211" t="str">
        <f>IF(J25-SUM(K25:N25)=0,"OK","Error!")</f>
        <v>OK</v>
      </c>
      <c r="P25" s="211"/>
      <c r="Q25" s="155">
        <f aca="true" t="shared" si="73" ref="Q25:Q32">$J25*E25</f>
        <v>60</v>
      </c>
      <c r="R25" s="155">
        <f aca="true" t="shared" si="74" ref="R25:R32">IF($C25=1,Q25,IF($C25="All",ROUND(Q25/4,0),0))</f>
        <v>60</v>
      </c>
      <c r="S25" s="155">
        <f aca="true" t="shared" si="75" ref="S25:S32">IF($C25=2,Q25,IF($C25="All",ROUND(Q25/4,0),0))</f>
        <v>0</v>
      </c>
      <c r="T25" s="155">
        <f aca="true" t="shared" si="76" ref="T25:T32">IF($C25=3,$J25,IF($C25="All",ROUND(Q25/4,0),0))</f>
        <v>0</v>
      </c>
      <c r="U25" s="155">
        <f aca="true" t="shared" si="77" ref="U25:U32">Q25-SUM(R25:T25)</f>
        <v>0</v>
      </c>
      <c r="V25" s="211" t="str">
        <f>IF(Q25-SUM(R25:U25)=0,"OK","Error!")</f>
        <v>OK</v>
      </c>
      <c r="W25" s="211"/>
      <c r="X25" s="155">
        <f aca="true" t="shared" si="78" ref="X25:X32">$J25*F25</f>
        <v>20</v>
      </c>
      <c r="Y25" s="155">
        <f aca="true" t="shared" si="79" ref="Y25:Y32">IF($C25=1,X25,IF($C25="All",ROUND(X25/4,0),0))</f>
        <v>20</v>
      </c>
      <c r="Z25" s="155">
        <f aca="true" t="shared" si="80" ref="Z25:Z32">IF($C25=2,X25,IF($C25="All",ROUND(X25/4,0),0))</f>
        <v>0</v>
      </c>
      <c r="AA25" s="155">
        <f aca="true" t="shared" si="81" ref="AA25:AA32">IF($C25=3,$J25,IF($C25="All",ROUND(X25/4,0),0))</f>
        <v>0</v>
      </c>
      <c r="AB25" s="155">
        <f aca="true" t="shared" si="82" ref="AB25:AB32">X25-SUM(Y25:AA25)</f>
        <v>0</v>
      </c>
      <c r="AC25" s="211" t="str">
        <f aca="true" t="shared" si="83" ref="AC25:AC32">IF(X25-SUM(Y25:AB25)=0,"OK","Error!")</f>
        <v>OK</v>
      </c>
      <c r="AD25" s="211"/>
      <c r="AE25" s="155">
        <f>ROUND($J25*G25,2)</f>
        <v>15</v>
      </c>
      <c r="AF25" s="155">
        <f>IF($C25=1,AE25,IF($C25="All",ROUND(AE25/4,2),0))</f>
        <v>15</v>
      </c>
      <c r="AG25" s="155">
        <f>IF($C25=2,AE25,IF($C25="All",ROUND(AE25/4,2),0))</f>
        <v>0</v>
      </c>
      <c r="AH25" s="155">
        <f>IF($C25=3,$J25,IF($C25="All",ROUND(AE25/4,2),0))</f>
        <v>0</v>
      </c>
      <c r="AI25" s="155">
        <f aca="true" t="shared" si="84" ref="AI25:AI32">AE25-SUM(AF25:AH25)</f>
        <v>0</v>
      </c>
      <c r="AJ25" s="211" t="str">
        <f aca="true" t="shared" si="85" ref="AJ25:AJ33">IF(AE25-SUM(AF25:AI25)=0,"OK","Error!")</f>
        <v>OK</v>
      </c>
      <c r="AK25" s="211"/>
      <c r="AL25" s="155">
        <f>ROUND($J25*H25,2)</f>
        <v>5</v>
      </c>
      <c r="AM25" s="155">
        <f>IF($C25=1,AL25,IF($C25="All",ROUND(AL25/4,2),0))</f>
        <v>5</v>
      </c>
      <c r="AN25" s="155">
        <f>IF($C25=2,AL25,IF($C25="All",ROUND(AL25/4,2),0))</f>
        <v>0</v>
      </c>
      <c r="AO25" s="155">
        <f>IF($C25=3,$J25,IF($C25="All",ROUND(AL25/4,2),0))</f>
        <v>0</v>
      </c>
      <c r="AP25" s="155">
        <f aca="true" t="shared" si="86" ref="AP25:AP32">AL25-SUM(AM25:AO25)</f>
        <v>0</v>
      </c>
      <c r="AQ25" s="211" t="str">
        <f aca="true" t="shared" si="87" ref="AQ25:AQ32">IF(AL25-SUM(AM25:AP25)=0,"OK","Error!")</f>
        <v>OK</v>
      </c>
      <c r="AR25" s="211">
        <f t="shared" si="31"/>
        <v>0</v>
      </c>
      <c r="AS25" s="211"/>
    </row>
    <row r="26" spans="1:45" s="23" customFormat="1" ht="18.75">
      <c r="A26" s="118">
        <v>2</v>
      </c>
      <c r="B26" s="107"/>
      <c r="C26" s="101"/>
      <c r="D26" s="208"/>
      <c r="E26" s="198">
        <f>E25</f>
        <v>0.6</v>
      </c>
      <c r="F26" s="194">
        <f>F25</f>
        <v>0.2</v>
      </c>
      <c r="G26" s="195">
        <f aca="true" t="shared" si="88" ref="G26:G32">1-E26-F26-H26</f>
        <v>0.15000000000000002</v>
      </c>
      <c r="H26" s="200">
        <f>H25</f>
        <v>0.05</v>
      </c>
      <c r="I26" s="83"/>
      <c r="J26" s="155">
        <f t="shared" si="68"/>
        <v>0</v>
      </c>
      <c r="K26" s="155">
        <f t="shared" si="69"/>
        <v>0</v>
      </c>
      <c r="L26" s="155">
        <f t="shared" si="70"/>
        <v>0</v>
      </c>
      <c r="M26" s="155">
        <f t="shared" si="71"/>
        <v>0</v>
      </c>
      <c r="N26" s="155">
        <f t="shared" si="72"/>
        <v>0</v>
      </c>
      <c r="O26" s="211" t="str">
        <f aca="true" t="shared" si="89" ref="O26:O33">IF(J26-SUM(K26:N26)=0,"OK","Error!")</f>
        <v>OK</v>
      </c>
      <c r="P26" s="211"/>
      <c r="Q26" s="155">
        <f t="shared" si="73"/>
        <v>0</v>
      </c>
      <c r="R26" s="155">
        <f t="shared" si="74"/>
        <v>0</v>
      </c>
      <c r="S26" s="155">
        <f t="shared" si="75"/>
        <v>0</v>
      </c>
      <c r="T26" s="155">
        <f t="shared" si="76"/>
        <v>0</v>
      </c>
      <c r="U26" s="155">
        <f t="shared" si="77"/>
        <v>0</v>
      </c>
      <c r="V26" s="211" t="str">
        <f aca="true" t="shared" si="90" ref="V26:V33">IF(Q26-SUM(R26:U26)=0,"OK","Error!")</f>
        <v>OK</v>
      </c>
      <c r="W26" s="211"/>
      <c r="X26" s="155">
        <f t="shared" si="78"/>
        <v>0</v>
      </c>
      <c r="Y26" s="155">
        <f t="shared" si="79"/>
        <v>0</v>
      </c>
      <c r="Z26" s="155">
        <f t="shared" si="80"/>
        <v>0</v>
      </c>
      <c r="AA26" s="155">
        <f t="shared" si="81"/>
        <v>0</v>
      </c>
      <c r="AB26" s="155">
        <f t="shared" si="82"/>
        <v>0</v>
      </c>
      <c r="AC26" s="211" t="str">
        <f t="shared" si="83"/>
        <v>OK</v>
      </c>
      <c r="AD26" s="211"/>
      <c r="AE26" s="155">
        <f aca="true" t="shared" si="91" ref="AE26:AE32">ROUND($J26*G26,2)</f>
        <v>0</v>
      </c>
      <c r="AF26" s="155">
        <f aca="true" t="shared" si="92" ref="AF26:AF32">IF($C26=1,AE26,IF($C26="All",ROUND(AE26/4,2),0))</f>
        <v>0</v>
      </c>
      <c r="AG26" s="155">
        <f aca="true" t="shared" si="93" ref="AG26:AG32">IF($C26=2,AE26,IF($C26="All",ROUND(AE26/4,2),0))</f>
        <v>0</v>
      </c>
      <c r="AH26" s="155">
        <f aca="true" t="shared" si="94" ref="AH26:AH32">IF($C26=3,$J26,IF($C26="All",ROUND(AE26/4,2),0))</f>
        <v>0</v>
      </c>
      <c r="AI26" s="155">
        <f t="shared" si="84"/>
        <v>0</v>
      </c>
      <c r="AJ26" s="211" t="str">
        <f t="shared" si="85"/>
        <v>OK</v>
      </c>
      <c r="AK26" s="211"/>
      <c r="AL26" s="155">
        <f aca="true" t="shared" si="95" ref="AL26:AL32">ROUND($J26*H26,2)</f>
        <v>0</v>
      </c>
      <c r="AM26" s="155">
        <f aca="true" t="shared" si="96" ref="AM26:AM32">IF($C26=1,AL26,IF($C26="All",ROUND(AL26/4,2),0))</f>
        <v>0</v>
      </c>
      <c r="AN26" s="155">
        <f aca="true" t="shared" si="97" ref="AN26:AN32">IF($C26=2,AL26,IF($C26="All",ROUND(AL26/4,2),0))</f>
        <v>0</v>
      </c>
      <c r="AO26" s="155">
        <f aca="true" t="shared" si="98" ref="AO26:AO32">IF($C26=3,$J26,IF($C26="All",ROUND(AL26/4,2),0))</f>
        <v>0</v>
      </c>
      <c r="AP26" s="155">
        <f t="shared" si="86"/>
        <v>0</v>
      </c>
      <c r="AQ26" s="211" t="str">
        <f t="shared" si="87"/>
        <v>OK</v>
      </c>
      <c r="AR26" s="211">
        <f t="shared" si="31"/>
        <v>0</v>
      </c>
      <c r="AS26" s="211"/>
    </row>
    <row r="27" spans="1:45" s="23" customFormat="1" ht="18.75">
      <c r="A27" s="118">
        <v>3</v>
      </c>
      <c r="B27" s="107"/>
      <c r="C27" s="101"/>
      <c r="D27" s="208"/>
      <c r="E27" s="198">
        <f aca="true" t="shared" si="99" ref="E27:E32">E26</f>
        <v>0.6</v>
      </c>
      <c r="F27" s="194">
        <f aca="true" t="shared" si="100" ref="F27:F32">F26</f>
        <v>0.2</v>
      </c>
      <c r="G27" s="195">
        <f t="shared" si="88"/>
        <v>0.15000000000000002</v>
      </c>
      <c r="H27" s="200">
        <f aca="true" t="shared" si="101" ref="H27:H32">H26</f>
        <v>0.05</v>
      </c>
      <c r="I27" s="83"/>
      <c r="J27" s="155">
        <f t="shared" si="68"/>
        <v>0</v>
      </c>
      <c r="K27" s="155">
        <f t="shared" si="69"/>
        <v>0</v>
      </c>
      <c r="L27" s="155">
        <f t="shared" si="70"/>
        <v>0</v>
      </c>
      <c r="M27" s="155">
        <f t="shared" si="71"/>
        <v>0</v>
      </c>
      <c r="N27" s="155">
        <f t="shared" si="72"/>
        <v>0</v>
      </c>
      <c r="O27" s="211" t="str">
        <f t="shared" si="89"/>
        <v>OK</v>
      </c>
      <c r="P27" s="211"/>
      <c r="Q27" s="155">
        <f t="shared" si="73"/>
        <v>0</v>
      </c>
      <c r="R27" s="155">
        <f t="shared" si="74"/>
        <v>0</v>
      </c>
      <c r="S27" s="155">
        <f t="shared" si="75"/>
        <v>0</v>
      </c>
      <c r="T27" s="155">
        <f t="shared" si="76"/>
        <v>0</v>
      </c>
      <c r="U27" s="155">
        <f t="shared" si="77"/>
        <v>0</v>
      </c>
      <c r="V27" s="211" t="str">
        <f t="shared" si="90"/>
        <v>OK</v>
      </c>
      <c r="W27" s="211"/>
      <c r="X27" s="155">
        <f t="shared" si="78"/>
        <v>0</v>
      </c>
      <c r="Y27" s="155">
        <f t="shared" si="79"/>
        <v>0</v>
      </c>
      <c r="Z27" s="155">
        <f t="shared" si="80"/>
        <v>0</v>
      </c>
      <c r="AA27" s="155">
        <f t="shared" si="81"/>
        <v>0</v>
      </c>
      <c r="AB27" s="155">
        <f t="shared" si="82"/>
        <v>0</v>
      </c>
      <c r="AC27" s="211" t="str">
        <f t="shared" si="83"/>
        <v>OK</v>
      </c>
      <c r="AD27" s="211"/>
      <c r="AE27" s="155">
        <f t="shared" si="91"/>
        <v>0</v>
      </c>
      <c r="AF27" s="155">
        <f t="shared" si="92"/>
        <v>0</v>
      </c>
      <c r="AG27" s="155">
        <f t="shared" si="93"/>
        <v>0</v>
      </c>
      <c r="AH27" s="155">
        <f t="shared" si="94"/>
        <v>0</v>
      </c>
      <c r="AI27" s="155">
        <f t="shared" si="84"/>
        <v>0</v>
      </c>
      <c r="AJ27" s="211" t="str">
        <f t="shared" si="85"/>
        <v>OK</v>
      </c>
      <c r="AK27" s="211"/>
      <c r="AL27" s="155">
        <f t="shared" si="95"/>
        <v>0</v>
      </c>
      <c r="AM27" s="155">
        <f t="shared" si="96"/>
        <v>0</v>
      </c>
      <c r="AN27" s="155">
        <f t="shared" si="97"/>
        <v>0</v>
      </c>
      <c r="AO27" s="155">
        <f t="shared" si="98"/>
        <v>0</v>
      </c>
      <c r="AP27" s="155">
        <f t="shared" si="86"/>
        <v>0</v>
      </c>
      <c r="AQ27" s="211" t="str">
        <f t="shared" si="87"/>
        <v>OK</v>
      </c>
      <c r="AR27" s="211">
        <f t="shared" si="31"/>
        <v>0</v>
      </c>
      <c r="AS27" s="211"/>
    </row>
    <row r="28" spans="1:45" s="23" customFormat="1" ht="18.75">
      <c r="A28" s="118">
        <v>4</v>
      </c>
      <c r="B28" s="107"/>
      <c r="C28" s="101"/>
      <c r="D28" s="208"/>
      <c r="E28" s="198">
        <f t="shared" si="99"/>
        <v>0.6</v>
      </c>
      <c r="F28" s="194">
        <f t="shared" si="100"/>
        <v>0.2</v>
      </c>
      <c r="G28" s="195">
        <f t="shared" si="88"/>
        <v>0.15000000000000002</v>
      </c>
      <c r="H28" s="200">
        <f t="shared" si="101"/>
        <v>0.05</v>
      </c>
      <c r="I28" s="83"/>
      <c r="J28" s="155">
        <f t="shared" si="68"/>
        <v>0</v>
      </c>
      <c r="K28" s="155">
        <f t="shared" si="69"/>
        <v>0</v>
      </c>
      <c r="L28" s="155">
        <f t="shared" si="70"/>
        <v>0</v>
      </c>
      <c r="M28" s="155">
        <f t="shared" si="71"/>
        <v>0</v>
      </c>
      <c r="N28" s="155">
        <f t="shared" si="72"/>
        <v>0</v>
      </c>
      <c r="O28" s="211" t="str">
        <f t="shared" si="89"/>
        <v>OK</v>
      </c>
      <c r="P28" s="211"/>
      <c r="Q28" s="155">
        <f t="shared" si="73"/>
        <v>0</v>
      </c>
      <c r="R28" s="155">
        <f t="shared" si="74"/>
        <v>0</v>
      </c>
      <c r="S28" s="155">
        <f t="shared" si="75"/>
        <v>0</v>
      </c>
      <c r="T28" s="155">
        <f t="shared" si="76"/>
        <v>0</v>
      </c>
      <c r="U28" s="155">
        <f t="shared" si="77"/>
        <v>0</v>
      </c>
      <c r="V28" s="211" t="str">
        <f t="shared" si="90"/>
        <v>OK</v>
      </c>
      <c r="W28" s="211"/>
      <c r="X28" s="155">
        <f t="shared" si="78"/>
        <v>0</v>
      </c>
      <c r="Y28" s="155">
        <f t="shared" si="79"/>
        <v>0</v>
      </c>
      <c r="Z28" s="155">
        <f t="shared" si="80"/>
        <v>0</v>
      </c>
      <c r="AA28" s="155">
        <f t="shared" si="81"/>
        <v>0</v>
      </c>
      <c r="AB28" s="155">
        <f t="shared" si="82"/>
        <v>0</v>
      </c>
      <c r="AC28" s="211" t="str">
        <f t="shared" si="83"/>
        <v>OK</v>
      </c>
      <c r="AD28" s="211"/>
      <c r="AE28" s="155">
        <f t="shared" si="91"/>
        <v>0</v>
      </c>
      <c r="AF28" s="155">
        <f t="shared" si="92"/>
        <v>0</v>
      </c>
      <c r="AG28" s="155">
        <f t="shared" si="93"/>
        <v>0</v>
      </c>
      <c r="AH28" s="155">
        <f t="shared" si="94"/>
        <v>0</v>
      </c>
      <c r="AI28" s="155">
        <f t="shared" si="84"/>
        <v>0</v>
      </c>
      <c r="AJ28" s="211" t="str">
        <f t="shared" si="85"/>
        <v>OK</v>
      </c>
      <c r="AK28" s="211"/>
      <c r="AL28" s="155">
        <f t="shared" si="95"/>
        <v>0</v>
      </c>
      <c r="AM28" s="155">
        <f t="shared" si="96"/>
        <v>0</v>
      </c>
      <c r="AN28" s="155">
        <f t="shared" si="97"/>
        <v>0</v>
      </c>
      <c r="AO28" s="155">
        <f t="shared" si="98"/>
        <v>0</v>
      </c>
      <c r="AP28" s="155">
        <f t="shared" si="86"/>
        <v>0</v>
      </c>
      <c r="AQ28" s="211" t="str">
        <f t="shared" si="87"/>
        <v>OK</v>
      </c>
      <c r="AR28" s="211">
        <f t="shared" si="31"/>
        <v>0</v>
      </c>
      <c r="AS28" s="211"/>
    </row>
    <row r="29" spans="1:45" s="23" customFormat="1" ht="18.75">
      <c r="A29" s="118">
        <v>5</v>
      </c>
      <c r="B29" s="107"/>
      <c r="C29" s="101"/>
      <c r="D29" s="208"/>
      <c r="E29" s="198">
        <f t="shared" si="99"/>
        <v>0.6</v>
      </c>
      <c r="F29" s="194">
        <f t="shared" si="100"/>
        <v>0.2</v>
      </c>
      <c r="G29" s="195">
        <f t="shared" si="88"/>
        <v>0.15000000000000002</v>
      </c>
      <c r="H29" s="200">
        <f t="shared" si="101"/>
        <v>0.05</v>
      </c>
      <c r="I29" s="83"/>
      <c r="J29" s="155">
        <f t="shared" si="68"/>
        <v>0</v>
      </c>
      <c r="K29" s="155">
        <f t="shared" si="69"/>
        <v>0</v>
      </c>
      <c r="L29" s="155">
        <f t="shared" si="70"/>
        <v>0</v>
      </c>
      <c r="M29" s="155">
        <f t="shared" si="71"/>
        <v>0</v>
      </c>
      <c r="N29" s="155">
        <f t="shared" si="72"/>
        <v>0</v>
      </c>
      <c r="O29" s="211" t="str">
        <f t="shared" si="89"/>
        <v>OK</v>
      </c>
      <c r="P29" s="211"/>
      <c r="Q29" s="155">
        <f t="shared" si="73"/>
        <v>0</v>
      </c>
      <c r="R29" s="155">
        <f t="shared" si="74"/>
        <v>0</v>
      </c>
      <c r="S29" s="155">
        <f t="shared" si="75"/>
        <v>0</v>
      </c>
      <c r="T29" s="155">
        <f t="shared" si="76"/>
        <v>0</v>
      </c>
      <c r="U29" s="155">
        <f t="shared" si="77"/>
        <v>0</v>
      </c>
      <c r="V29" s="211" t="str">
        <f t="shared" si="90"/>
        <v>OK</v>
      </c>
      <c r="W29" s="211"/>
      <c r="X29" s="155">
        <f t="shared" si="78"/>
        <v>0</v>
      </c>
      <c r="Y29" s="155">
        <f t="shared" si="79"/>
        <v>0</v>
      </c>
      <c r="Z29" s="155">
        <f t="shared" si="80"/>
        <v>0</v>
      </c>
      <c r="AA29" s="155">
        <f t="shared" si="81"/>
        <v>0</v>
      </c>
      <c r="AB29" s="155">
        <f t="shared" si="82"/>
        <v>0</v>
      </c>
      <c r="AC29" s="211" t="str">
        <f t="shared" si="83"/>
        <v>OK</v>
      </c>
      <c r="AD29" s="211"/>
      <c r="AE29" s="155">
        <f t="shared" si="91"/>
        <v>0</v>
      </c>
      <c r="AF29" s="155">
        <f t="shared" si="92"/>
        <v>0</v>
      </c>
      <c r="AG29" s="155">
        <f t="shared" si="93"/>
        <v>0</v>
      </c>
      <c r="AH29" s="155">
        <f t="shared" si="94"/>
        <v>0</v>
      </c>
      <c r="AI29" s="155">
        <f t="shared" si="84"/>
        <v>0</v>
      </c>
      <c r="AJ29" s="211" t="str">
        <f t="shared" si="85"/>
        <v>OK</v>
      </c>
      <c r="AK29" s="211"/>
      <c r="AL29" s="155">
        <f t="shared" si="95"/>
        <v>0</v>
      </c>
      <c r="AM29" s="155">
        <f t="shared" si="96"/>
        <v>0</v>
      </c>
      <c r="AN29" s="155">
        <f t="shared" si="97"/>
        <v>0</v>
      </c>
      <c r="AO29" s="155">
        <f t="shared" si="98"/>
        <v>0</v>
      </c>
      <c r="AP29" s="155">
        <f t="shared" si="86"/>
        <v>0</v>
      </c>
      <c r="AQ29" s="211" t="str">
        <f t="shared" si="87"/>
        <v>OK</v>
      </c>
      <c r="AR29" s="211">
        <f t="shared" si="31"/>
        <v>0</v>
      </c>
      <c r="AS29" s="211"/>
    </row>
    <row r="30" spans="1:45" s="23" customFormat="1" ht="18.75">
      <c r="A30" s="118">
        <v>6</v>
      </c>
      <c r="B30" s="107"/>
      <c r="C30" s="101"/>
      <c r="D30" s="208"/>
      <c r="E30" s="198">
        <f t="shared" si="99"/>
        <v>0.6</v>
      </c>
      <c r="F30" s="194">
        <f t="shared" si="100"/>
        <v>0.2</v>
      </c>
      <c r="G30" s="195">
        <f t="shared" si="88"/>
        <v>0.15000000000000002</v>
      </c>
      <c r="H30" s="200">
        <f t="shared" si="101"/>
        <v>0.05</v>
      </c>
      <c r="I30" s="83"/>
      <c r="J30" s="155">
        <f t="shared" si="68"/>
        <v>0</v>
      </c>
      <c r="K30" s="155">
        <f t="shared" si="69"/>
        <v>0</v>
      </c>
      <c r="L30" s="155">
        <f t="shared" si="70"/>
        <v>0</v>
      </c>
      <c r="M30" s="155">
        <f t="shared" si="71"/>
        <v>0</v>
      </c>
      <c r="N30" s="155">
        <f t="shared" si="72"/>
        <v>0</v>
      </c>
      <c r="O30" s="211" t="str">
        <f t="shared" si="89"/>
        <v>OK</v>
      </c>
      <c r="P30" s="211"/>
      <c r="Q30" s="155">
        <f t="shared" si="73"/>
        <v>0</v>
      </c>
      <c r="R30" s="155">
        <f t="shared" si="74"/>
        <v>0</v>
      </c>
      <c r="S30" s="155">
        <f t="shared" si="75"/>
        <v>0</v>
      </c>
      <c r="T30" s="155">
        <f t="shared" si="76"/>
        <v>0</v>
      </c>
      <c r="U30" s="155">
        <f t="shared" si="77"/>
        <v>0</v>
      </c>
      <c r="V30" s="211" t="str">
        <f t="shared" si="90"/>
        <v>OK</v>
      </c>
      <c r="W30" s="211"/>
      <c r="X30" s="155">
        <f t="shared" si="78"/>
        <v>0</v>
      </c>
      <c r="Y30" s="155">
        <f t="shared" si="79"/>
        <v>0</v>
      </c>
      <c r="Z30" s="155">
        <f t="shared" si="80"/>
        <v>0</v>
      </c>
      <c r="AA30" s="155">
        <f t="shared" si="81"/>
        <v>0</v>
      </c>
      <c r="AB30" s="155">
        <f t="shared" si="82"/>
        <v>0</v>
      </c>
      <c r="AC30" s="211" t="str">
        <f t="shared" si="83"/>
        <v>OK</v>
      </c>
      <c r="AD30" s="211"/>
      <c r="AE30" s="155">
        <f t="shared" si="91"/>
        <v>0</v>
      </c>
      <c r="AF30" s="155">
        <f t="shared" si="92"/>
        <v>0</v>
      </c>
      <c r="AG30" s="155">
        <f t="shared" si="93"/>
        <v>0</v>
      </c>
      <c r="AH30" s="155">
        <f t="shared" si="94"/>
        <v>0</v>
      </c>
      <c r="AI30" s="155">
        <f t="shared" si="84"/>
        <v>0</v>
      </c>
      <c r="AJ30" s="211" t="str">
        <f t="shared" si="85"/>
        <v>OK</v>
      </c>
      <c r="AK30" s="211"/>
      <c r="AL30" s="155">
        <f t="shared" si="95"/>
        <v>0</v>
      </c>
      <c r="AM30" s="155">
        <f t="shared" si="96"/>
        <v>0</v>
      </c>
      <c r="AN30" s="155">
        <f t="shared" si="97"/>
        <v>0</v>
      </c>
      <c r="AO30" s="155">
        <f t="shared" si="98"/>
        <v>0</v>
      </c>
      <c r="AP30" s="155">
        <f t="shared" si="86"/>
        <v>0</v>
      </c>
      <c r="AQ30" s="211" t="str">
        <f t="shared" si="87"/>
        <v>OK</v>
      </c>
      <c r="AR30" s="211">
        <f t="shared" si="31"/>
        <v>0</v>
      </c>
      <c r="AS30" s="211"/>
    </row>
    <row r="31" spans="1:45" s="23" customFormat="1" ht="18.75">
      <c r="A31" s="118">
        <v>7</v>
      </c>
      <c r="B31" s="107"/>
      <c r="C31" s="101"/>
      <c r="D31" s="208"/>
      <c r="E31" s="198">
        <f t="shared" si="99"/>
        <v>0.6</v>
      </c>
      <c r="F31" s="194">
        <f t="shared" si="100"/>
        <v>0.2</v>
      </c>
      <c r="G31" s="195">
        <f t="shared" si="88"/>
        <v>0.15000000000000002</v>
      </c>
      <c r="H31" s="200">
        <f t="shared" si="101"/>
        <v>0.05</v>
      </c>
      <c r="I31" s="83"/>
      <c r="J31" s="155">
        <f t="shared" si="68"/>
        <v>0</v>
      </c>
      <c r="K31" s="155">
        <f t="shared" si="69"/>
        <v>0</v>
      </c>
      <c r="L31" s="155">
        <f t="shared" si="70"/>
        <v>0</v>
      </c>
      <c r="M31" s="155">
        <f t="shared" si="71"/>
        <v>0</v>
      </c>
      <c r="N31" s="155">
        <f t="shared" si="72"/>
        <v>0</v>
      </c>
      <c r="O31" s="211" t="str">
        <f t="shared" si="89"/>
        <v>OK</v>
      </c>
      <c r="P31" s="211"/>
      <c r="Q31" s="155">
        <f t="shared" si="73"/>
        <v>0</v>
      </c>
      <c r="R31" s="155">
        <f t="shared" si="74"/>
        <v>0</v>
      </c>
      <c r="S31" s="155">
        <f t="shared" si="75"/>
        <v>0</v>
      </c>
      <c r="T31" s="155">
        <f t="shared" si="76"/>
        <v>0</v>
      </c>
      <c r="U31" s="155">
        <f t="shared" si="77"/>
        <v>0</v>
      </c>
      <c r="V31" s="211" t="str">
        <f t="shared" si="90"/>
        <v>OK</v>
      </c>
      <c r="W31" s="211"/>
      <c r="X31" s="155">
        <f t="shared" si="78"/>
        <v>0</v>
      </c>
      <c r="Y31" s="155">
        <f t="shared" si="79"/>
        <v>0</v>
      </c>
      <c r="Z31" s="155">
        <f t="shared" si="80"/>
        <v>0</v>
      </c>
      <c r="AA31" s="155">
        <f t="shared" si="81"/>
        <v>0</v>
      </c>
      <c r="AB31" s="155">
        <f t="shared" si="82"/>
        <v>0</v>
      </c>
      <c r="AC31" s="211" t="str">
        <f t="shared" si="83"/>
        <v>OK</v>
      </c>
      <c r="AD31" s="211"/>
      <c r="AE31" s="155">
        <f t="shared" si="91"/>
        <v>0</v>
      </c>
      <c r="AF31" s="155">
        <f t="shared" si="92"/>
        <v>0</v>
      </c>
      <c r="AG31" s="155">
        <f t="shared" si="93"/>
        <v>0</v>
      </c>
      <c r="AH31" s="155">
        <f t="shared" si="94"/>
        <v>0</v>
      </c>
      <c r="AI31" s="155">
        <f t="shared" si="84"/>
        <v>0</v>
      </c>
      <c r="AJ31" s="211" t="str">
        <f t="shared" si="85"/>
        <v>OK</v>
      </c>
      <c r="AK31" s="211"/>
      <c r="AL31" s="155">
        <f t="shared" si="95"/>
        <v>0</v>
      </c>
      <c r="AM31" s="155">
        <f t="shared" si="96"/>
        <v>0</v>
      </c>
      <c r="AN31" s="155">
        <f t="shared" si="97"/>
        <v>0</v>
      </c>
      <c r="AO31" s="155">
        <f t="shared" si="98"/>
        <v>0</v>
      </c>
      <c r="AP31" s="155">
        <f t="shared" si="86"/>
        <v>0</v>
      </c>
      <c r="AQ31" s="211" t="str">
        <f t="shared" si="87"/>
        <v>OK</v>
      </c>
      <c r="AR31" s="211">
        <f t="shared" si="31"/>
        <v>0</v>
      </c>
      <c r="AS31" s="211"/>
    </row>
    <row r="32" spans="1:45" ht="18.75">
      <c r="A32" s="118">
        <v>8</v>
      </c>
      <c r="B32" s="107"/>
      <c r="C32" s="101"/>
      <c r="D32" s="208"/>
      <c r="E32" s="202">
        <f t="shared" si="99"/>
        <v>0.6</v>
      </c>
      <c r="F32" s="203">
        <f t="shared" si="100"/>
        <v>0.2</v>
      </c>
      <c r="G32" s="204">
        <f t="shared" si="88"/>
        <v>0.15000000000000002</v>
      </c>
      <c r="H32" s="205">
        <f t="shared" si="101"/>
        <v>0.05</v>
      </c>
      <c r="I32" s="83"/>
      <c r="J32" s="155">
        <f t="shared" si="68"/>
        <v>0</v>
      </c>
      <c r="K32" s="155">
        <f t="shared" si="69"/>
        <v>0</v>
      </c>
      <c r="L32" s="155">
        <f t="shared" si="70"/>
        <v>0</v>
      </c>
      <c r="M32" s="155">
        <f t="shared" si="71"/>
        <v>0</v>
      </c>
      <c r="N32" s="155">
        <f t="shared" si="72"/>
        <v>0</v>
      </c>
      <c r="O32" s="211" t="str">
        <f t="shared" si="89"/>
        <v>OK</v>
      </c>
      <c r="P32" s="211"/>
      <c r="Q32" s="155">
        <f t="shared" si="73"/>
        <v>0</v>
      </c>
      <c r="R32" s="155">
        <f t="shared" si="74"/>
        <v>0</v>
      </c>
      <c r="S32" s="155">
        <f t="shared" si="75"/>
        <v>0</v>
      </c>
      <c r="T32" s="155">
        <f t="shared" si="76"/>
        <v>0</v>
      </c>
      <c r="U32" s="155">
        <f t="shared" si="77"/>
        <v>0</v>
      </c>
      <c r="V32" s="211" t="str">
        <f t="shared" si="90"/>
        <v>OK</v>
      </c>
      <c r="W32" s="211"/>
      <c r="X32" s="155">
        <f t="shared" si="78"/>
        <v>0</v>
      </c>
      <c r="Y32" s="155">
        <f t="shared" si="79"/>
        <v>0</v>
      </c>
      <c r="Z32" s="155">
        <f t="shared" si="80"/>
        <v>0</v>
      </c>
      <c r="AA32" s="155">
        <f t="shared" si="81"/>
        <v>0</v>
      </c>
      <c r="AB32" s="155">
        <f t="shared" si="82"/>
        <v>0</v>
      </c>
      <c r="AC32" s="211" t="str">
        <f t="shared" si="83"/>
        <v>OK</v>
      </c>
      <c r="AD32" s="211"/>
      <c r="AE32" s="155">
        <f t="shared" si="91"/>
        <v>0</v>
      </c>
      <c r="AF32" s="155">
        <f t="shared" si="92"/>
        <v>0</v>
      </c>
      <c r="AG32" s="155">
        <f t="shared" si="93"/>
        <v>0</v>
      </c>
      <c r="AH32" s="155">
        <f t="shared" si="94"/>
        <v>0</v>
      </c>
      <c r="AI32" s="155">
        <f t="shared" si="84"/>
        <v>0</v>
      </c>
      <c r="AJ32" s="211" t="str">
        <f t="shared" si="85"/>
        <v>OK</v>
      </c>
      <c r="AK32" s="211"/>
      <c r="AL32" s="155">
        <f t="shared" si="95"/>
        <v>0</v>
      </c>
      <c r="AM32" s="155">
        <f t="shared" si="96"/>
        <v>0</v>
      </c>
      <c r="AN32" s="155">
        <f t="shared" si="97"/>
        <v>0</v>
      </c>
      <c r="AO32" s="155">
        <f t="shared" si="98"/>
        <v>0</v>
      </c>
      <c r="AP32" s="155">
        <f t="shared" si="86"/>
        <v>0</v>
      </c>
      <c r="AQ32" s="211" t="str">
        <f t="shared" si="87"/>
        <v>OK</v>
      </c>
      <c r="AR32" s="211">
        <f t="shared" si="31"/>
        <v>0</v>
      </c>
      <c r="AS32" s="211"/>
    </row>
    <row r="33" spans="1:45" ht="19.5" thickBot="1">
      <c r="A33" s="119"/>
      <c r="B33" s="109" t="s">
        <v>195</v>
      </c>
      <c r="C33" s="87"/>
      <c r="D33" s="117">
        <f>SUM(D25:D32)</f>
        <v>100</v>
      </c>
      <c r="E33" s="111"/>
      <c r="F33" s="111"/>
      <c r="G33" s="111"/>
      <c r="H33" s="111"/>
      <c r="I33" s="83"/>
      <c r="J33" s="137">
        <f>SUM(J25:J32)</f>
        <v>100</v>
      </c>
      <c r="K33" s="137">
        <f>SUM(K25:K32)</f>
        <v>100</v>
      </c>
      <c r="L33" s="137">
        <f>SUM(L25:L32)</f>
        <v>0</v>
      </c>
      <c r="M33" s="137">
        <f>SUM(M25:M32)</f>
        <v>0</v>
      </c>
      <c r="N33" s="137">
        <f>SUM(N25:N32)</f>
        <v>0</v>
      </c>
      <c r="O33" s="211" t="str">
        <f t="shared" si="89"/>
        <v>OK</v>
      </c>
      <c r="P33" s="211"/>
      <c r="Q33" s="137">
        <f>SUM(Q25:Q32)</f>
        <v>60</v>
      </c>
      <c r="R33" s="137">
        <f>SUM(R25:R32)</f>
        <v>60</v>
      </c>
      <c r="S33" s="137">
        <f>SUM(S25:S32)</f>
        <v>0</v>
      </c>
      <c r="T33" s="137">
        <f>SUM(T25:T32)</f>
        <v>0</v>
      </c>
      <c r="U33" s="137">
        <f>SUM(U25:U32)</f>
        <v>0</v>
      </c>
      <c r="V33" s="211" t="str">
        <f t="shared" si="90"/>
        <v>OK</v>
      </c>
      <c r="W33" s="211"/>
      <c r="X33" s="137">
        <f>SUM(X25:X32)</f>
        <v>20</v>
      </c>
      <c r="Y33" s="137">
        <f>SUM(Y25:Y32)</f>
        <v>20</v>
      </c>
      <c r="Z33" s="137">
        <f>SUM(Z25:Z32)</f>
        <v>0</v>
      </c>
      <c r="AA33" s="137">
        <f>SUM(AA25:AA32)</f>
        <v>0</v>
      </c>
      <c r="AB33" s="137">
        <f>SUM(AB25:AB32)</f>
        <v>0</v>
      </c>
      <c r="AC33" s="211" t="str">
        <f>IF(X33-SUM(Y33:AB33)=0,"OK","Error!")</f>
        <v>OK</v>
      </c>
      <c r="AD33" s="211"/>
      <c r="AE33" s="137">
        <f>SUM(AE25:AE32)</f>
        <v>15</v>
      </c>
      <c r="AF33" s="137">
        <f>SUM(AF25:AF32)</f>
        <v>15</v>
      </c>
      <c r="AG33" s="137">
        <f>SUM(AG25:AG32)</f>
        <v>0</v>
      </c>
      <c r="AH33" s="137">
        <f>SUM(AH25:AH32)</f>
        <v>0</v>
      </c>
      <c r="AI33" s="137">
        <f>SUM(AI25:AI32)</f>
        <v>0</v>
      </c>
      <c r="AJ33" s="211" t="str">
        <f t="shared" si="85"/>
        <v>OK</v>
      </c>
      <c r="AK33" s="211"/>
      <c r="AL33" s="137">
        <f>SUM(AL25:AL32)</f>
        <v>5</v>
      </c>
      <c r="AM33" s="137">
        <f>SUM(AM25:AM32)</f>
        <v>5</v>
      </c>
      <c r="AN33" s="137">
        <f>SUM(AN25:AN32)</f>
        <v>0</v>
      </c>
      <c r="AO33" s="137">
        <f>SUM(AO25:AO32)</f>
        <v>0</v>
      </c>
      <c r="AP33" s="137">
        <f>SUM(AP25:AP32)</f>
        <v>0</v>
      </c>
      <c r="AQ33" s="211" t="str">
        <f>IF(AL33-SUM(AM33:AP33)=0,"OK","Error!")</f>
        <v>OK</v>
      </c>
      <c r="AR33" s="211">
        <f t="shared" si="31"/>
        <v>0</v>
      </c>
      <c r="AS33" s="211"/>
    </row>
    <row r="34" spans="2:45" ht="19.5" thickBot="1">
      <c r="B34" s="104"/>
      <c r="D34" s="83"/>
      <c r="E34" s="154"/>
      <c r="F34" s="154"/>
      <c r="G34" s="154"/>
      <c r="H34" s="154"/>
      <c r="I34" s="83"/>
      <c r="J34" s="155"/>
      <c r="K34" s="211"/>
      <c r="L34" s="211"/>
      <c r="M34" s="211"/>
      <c r="N34" s="211"/>
      <c r="O34" s="211"/>
      <c r="P34" s="211"/>
      <c r="Q34" s="155"/>
      <c r="R34" s="211"/>
      <c r="S34" s="211"/>
      <c r="T34" s="211"/>
      <c r="U34" s="211"/>
      <c r="V34" s="211"/>
      <c r="W34" s="211"/>
      <c r="X34" s="155"/>
      <c r="Y34" s="211"/>
      <c r="Z34" s="211"/>
      <c r="AA34" s="211"/>
      <c r="AB34" s="211"/>
      <c r="AC34" s="211"/>
      <c r="AD34" s="211"/>
      <c r="AE34" s="155"/>
      <c r="AF34" s="211"/>
      <c r="AG34" s="211"/>
      <c r="AH34" s="211"/>
      <c r="AI34" s="211"/>
      <c r="AJ34" s="211"/>
      <c r="AK34" s="211"/>
      <c r="AL34" s="155"/>
      <c r="AM34" s="211"/>
      <c r="AN34" s="211"/>
      <c r="AO34" s="211"/>
      <c r="AP34" s="211"/>
      <c r="AQ34" s="211"/>
      <c r="AR34" s="211"/>
      <c r="AS34" s="211"/>
    </row>
    <row r="35" spans="1:45" ht="19.5" thickBot="1">
      <c r="A35" s="113" t="s">
        <v>199</v>
      </c>
      <c r="B35" s="114"/>
      <c r="C35" s="115"/>
      <c r="D35" s="116"/>
      <c r="E35" s="111"/>
      <c r="F35" s="111"/>
      <c r="G35" s="111"/>
      <c r="H35" s="111"/>
      <c r="I35" s="83"/>
      <c r="J35" s="155"/>
      <c r="K35" s="211"/>
      <c r="L35" s="211"/>
      <c r="M35" s="211"/>
      <c r="N35" s="211"/>
      <c r="O35" s="211"/>
      <c r="P35" s="211"/>
      <c r="Q35" s="155"/>
      <c r="R35" s="211"/>
      <c r="S35" s="211"/>
      <c r="T35" s="211"/>
      <c r="U35" s="211"/>
      <c r="V35" s="211"/>
      <c r="W35" s="211"/>
      <c r="X35" s="155"/>
      <c r="Y35" s="211"/>
      <c r="Z35" s="211"/>
      <c r="AA35" s="211"/>
      <c r="AB35" s="211"/>
      <c r="AC35" s="211"/>
      <c r="AD35" s="211"/>
      <c r="AE35" s="155"/>
      <c r="AF35" s="211"/>
      <c r="AG35" s="211"/>
      <c r="AH35" s="211"/>
      <c r="AI35" s="211"/>
      <c r="AJ35" s="211"/>
      <c r="AK35" s="211"/>
      <c r="AL35" s="155"/>
      <c r="AM35" s="211"/>
      <c r="AN35" s="211"/>
      <c r="AO35" s="211"/>
      <c r="AP35" s="211"/>
      <c r="AQ35" s="211"/>
      <c r="AR35" s="211"/>
      <c r="AS35" s="211"/>
    </row>
    <row r="36" spans="2:45" ht="19.5" thickBot="1">
      <c r="B36" s="104"/>
      <c r="D36" s="83"/>
      <c r="E36" s="154"/>
      <c r="F36" s="154"/>
      <c r="G36" s="154"/>
      <c r="H36" s="154"/>
      <c r="I36" s="83"/>
      <c r="J36" s="155"/>
      <c r="K36" s="211"/>
      <c r="L36" s="211"/>
      <c r="M36" s="211"/>
      <c r="N36" s="211"/>
      <c r="O36" s="211"/>
      <c r="P36" s="211"/>
      <c r="Q36" s="155"/>
      <c r="R36" s="211"/>
      <c r="S36" s="211"/>
      <c r="T36" s="211"/>
      <c r="U36" s="211"/>
      <c r="V36" s="211"/>
      <c r="W36" s="211"/>
      <c r="X36" s="155"/>
      <c r="Y36" s="211"/>
      <c r="Z36" s="211"/>
      <c r="AA36" s="211"/>
      <c r="AB36" s="211"/>
      <c r="AC36" s="211"/>
      <c r="AD36" s="211"/>
      <c r="AE36" s="155"/>
      <c r="AF36" s="211"/>
      <c r="AG36" s="211"/>
      <c r="AH36" s="211"/>
      <c r="AI36" s="211"/>
      <c r="AJ36" s="211"/>
      <c r="AK36" s="211"/>
      <c r="AL36" s="155"/>
      <c r="AM36" s="211"/>
      <c r="AN36" s="211"/>
      <c r="AO36" s="211"/>
      <c r="AP36" s="211"/>
      <c r="AQ36" s="211"/>
      <c r="AR36" s="211"/>
      <c r="AS36" s="211"/>
    </row>
    <row r="37" spans="1:45" ht="18.75">
      <c r="A37" s="97" t="s">
        <v>200</v>
      </c>
      <c r="B37" s="108"/>
      <c r="C37" s="102"/>
      <c r="D37" s="88"/>
      <c r="E37" s="209"/>
      <c r="F37" s="209"/>
      <c r="G37" s="209"/>
      <c r="H37" s="209"/>
      <c r="I37" s="83"/>
      <c r="J37" s="155"/>
      <c r="K37" s="211"/>
      <c r="L37" s="211"/>
      <c r="M37" s="211"/>
      <c r="N37" s="211"/>
      <c r="O37" s="211"/>
      <c r="P37" s="211"/>
      <c r="Q37" s="155"/>
      <c r="R37" s="211"/>
      <c r="S37" s="211"/>
      <c r="T37" s="211"/>
      <c r="U37" s="211"/>
      <c r="V37" s="211"/>
      <c r="W37" s="211"/>
      <c r="X37" s="155"/>
      <c r="Y37" s="211"/>
      <c r="Z37" s="211"/>
      <c r="AA37" s="211"/>
      <c r="AB37" s="211"/>
      <c r="AC37" s="211"/>
      <c r="AD37" s="211"/>
      <c r="AE37" s="155"/>
      <c r="AF37" s="211"/>
      <c r="AG37" s="211"/>
      <c r="AH37" s="211"/>
      <c r="AI37" s="211"/>
      <c r="AJ37" s="211"/>
      <c r="AK37" s="211"/>
      <c r="AL37" s="155"/>
      <c r="AM37" s="211"/>
      <c r="AN37" s="211"/>
      <c r="AO37" s="211"/>
      <c r="AP37" s="211"/>
      <c r="AQ37" s="211"/>
      <c r="AR37" s="211"/>
      <c r="AS37" s="211"/>
    </row>
    <row r="38" spans="1:45" ht="18.75">
      <c r="A38" s="120">
        <v>1</v>
      </c>
      <c r="B38" s="107" t="s">
        <v>301</v>
      </c>
      <c r="C38" s="101" t="s">
        <v>185</v>
      </c>
      <c r="D38" s="208">
        <v>600</v>
      </c>
      <c r="E38" s="196">
        <v>0.6</v>
      </c>
      <c r="F38" s="192">
        <v>0.2</v>
      </c>
      <c r="G38" s="193">
        <f>1-E38-F38-H38</f>
        <v>0.15000000000000002</v>
      </c>
      <c r="H38" s="197">
        <v>0.05</v>
      </c>
      <c r="I38" s="83"/>
      <c r="J38" s="155">
        <f aca="true" t="shared" si="102" ref="J38:J45">$D38</f>
        <v>600</v>
      </c>
      <c r="K38" s="155">
        <f aca="true" t="shared" si="103" ref="K38:K45">IF($C38=1,J38,IF($C38="All",ROUND(J38/4,0),0))</f>
        <v>150</v>
      </c>
      <c r="L38" s="155">
        <f aca="true" t="shared" si="104" ref="L38:L45">IF($C38=2,J38,IF($C38="All",ROUND(J38/4,0),0))</f>
        <v>150</v>
      </c>
      <c r="M38" s="155">
        <f aca="true" t="shared" si="105" ref="M38:M45">IF($C38=3,$J38,IF($C38="All",ROUND(J38/4,0),0))</f>
        <v>150</v>
      </c>
      <c r="N38" s="155">
        <f aca="true" t="shared" si="106" ref="N38:N45">J38-SUM(K38:M38)</f>
        <v>150</v>
      </c>
      <c r="O38" s="211" t="str">
        <f>IF(J38-SUM(K38:N38)=0,"OK","Error!")</f>
        <v>OK</v>
      </c>
      <c r="P38" s="211"/>
      <c r="Q38" s="155">
        <f aca="true" t="shared" si="107" ref="Q38:Q45">$J38*E38</f>
        <v>360</v>
      </c>
      <c r="R38" s="155">
        <f aca="true" t="shared" si="108" ref="R38:R45">IF($C38=1,Q38,IF($C38="All",ROUND(Q38/4,0),0))</f>
        <v>90</v>
      </c>
      <c r="S38" s="155">
        <f aca="true" t="shared" si="109" ref="S38:S45">IF($C38=2,Q38,IF($C38="All",ROUND(Q38/4,0),0))</f>
        <v>90</v>
      </c>
      <c r="T38" s="155">
        <f aca="true" t="shared" si="110" ref="T38:T45">IF($C38=3,$J38,IF($C38="All",ROUND(Q38/4,0),0))</f>
        <v>90</v>
      </c>
      <c r="U38" s="155">
        <f aca="true" t="shared" si="111" ref="U38:U45">Q38-SUM(R38:T38)</f>
        <v>90</v>
      </c>
      <c r="V38" s="211" t="str">
        <f>IF(Q38-SUM(R38:U38)=0,"OK","Error!")</f>
        <v>OK</v>
      </c>
      <c r="W38" s="211"/>
      <c r="X38" s="155">
        <f aca="true" t="shared" si="112" ref="X38:X45">$J38*F38</f>
        <v>120</v>
      </c>
      <c r="Y38" s="155">
        <f aca="true" t="shared" si="113" ref="Y38:Y45">IF($C38=1,X38,IF($C38="All",ROUND(X38/4,0),0))</f>
        <v>30</v>
      </c>
      <c r="Z38" s="155">
        <f aca="true" t="shared" si="114" ref="Z38:Z45">IF($C38=2,X38,IF($C38="All",ROUND(X38/4,0),0))</f>
        <v>30</v>
      </c>
      <c r="AA38" s="155">
        <f aca="true" t="shared" si="115" ref="AA38:AA45">IF($C38=3,$J38,IF($C38="All",ROUND(X38/4,0),0))</f>
        <v>30</v>
      </c>
      <c r="AB38" s="155">
        <f aca="true" t="shared" si="116" ref="AB38:AB45">X38-SUM(Y38:AA38)</f>
        <v>30</v>
      </c>
      <c r="AC38" s="211" t="str">
        <f aca="true" t="shared" si="117" ref="AC38:AC45">IF(X38-SUM(Y38:AB38)=0,"OK","Error!")</f>
        <v>OK</v>
      </c>
      <c r="AD38" s="211"/>
      <c r="AE38" s="155">
        <f>ROUND($J38*G38,2)</f>
        <v>90</v>
      </c>
      <c r="AF38" s="155">
        <f>IF($C38=1,AE38,IF($C38="All",ROUND(AE38/4,2),0))</f>
        <v>22.5</v>
      </c>
      <c r="AG38" s="155">
        <f>IF($C38=2,AE38,IF($C38="All",ROUND(AE38/4,2),0))</f>
        <v>22.5</v>
      </c>
      <c r="AH38" s="155">
        <f>IF($C38=3,$J38,IF($C38="All",ROUND(AE38/4,2),0))</f>
        <v>22.5</v>
      </c>
      <c r="AI38" s="155">
        <f aca="true" t="shared" si="118" ref="AI38:AI45">AE38-SUM(AF38:AH38)</f>
        <v>22.5</v>
      </c>
      <c r="AJ38" s="211" t="str">
        <f aca="true" t="shared" si="119" ref="AJ38:AJ46">IF(AE38-SUM(AF38:AI38)=0,"OK","Error!")</f>
        <v>OK</v>
      </c>
      <c r="AK38" s="211"/>
      <c r="AL38" s="155">
        <f>ROUND($J38*H38,2)</f>
        <v>30</v>
      </c>
      <c r="AM38" s="155">
        <f>IF($C38=1,AL38,IF($C38="All",ROUND(AL38/4,2),0))</f>
        <v>7.5</v>
      </c>
      <c r="AN38" s="155">
        <f>IF($C38=2,AL38,IF($C38="All",ROUND(AL38/4,2),0))</f>
        <v>7.5</v>
      </c>
      <c r="AO38" s="155">
        <f>IF($C38=3,$J38,IF($C38="All",ROUND(AL38/4,2),0))</f>
        <v>7.5</v>
      </c>
      <c r="AP38" s="155">
        <f aca="true" t="shared" si="120" ref="AP38:AP45">AL38-SUM(AM38:AO38)</f>
        <v>7.5</v>
      </c>
      <c r="AQ38" s="211" t="str">
        <f aca="true" t="shared" si="121" ref="AQ38:AQ45">IF(AL38-SUM(AM38:AP38)=0,"OK","Error!")</f>
        <v>OK</v>
      </c>
      <c r="AR38" s="211">
        <f t="shared" si="31"/>
        <v>0</v>
      </c>
      <c r="AS38" s="211"/>
    </row>
    <row r="39" spans="1:45" ht="18.75">
      <c r="A39" s="120">
        <v>2</v>
      </c>
      <c r="B39" s="107" t="s">
        <v>302</v>
      </c>
      <c r="C39" s="101" t="s">
        <v>185</v>
      </c>
      <c r="D39" s="208">
        <v>900</v>
      </c>
      <c r="E39" s="198">
        <f>E38</f>
        <v>0.6</v>
      </c>
      <c r="F39" s="194">
        <f>F38</f>
        <v>0.2</v>
      </c>
      <c r="G39" s="195">
        <f aca="true" t="shared" si="122" ref="G39:G45">1-E39-F39-H39</f>
        <v>0.15000000000000002</v>
      </c>
      <c r="H39" s="200">
        <f>H38</f>
        <v>0.05</v>
      </c>
      <c r="I39" s="83"/>
      <c r="J39" s="155">
        <f t="shared" si="102"/>
        <v>900</v>
      </c>
      <c r="K39" s="155">
        <f t="shared" si="103"/>
        <v>225</v>
      </c>
      <c r="L39" s="155">
        <f t="shared" si="104"/>
        <v>225</v>
      </c>
      <c r="M39" s="155">
        <f t="shared" si="105"/>
        <v>225</v>
      </c>
      <c r="N39" s="155">
        <f t="shared" si="106"/>
        <v>225</v>
      </c>
      <c r="O39" s="211" t="str">
        <f aca="true" t="shared" si="123" ref="O39:O46">IF(J39-SUM(K39:N39)=0,"OK","Error!")</f>
        <v>OK</v>
      </c>
      <c r="P39" s="211"/>
      <c r="Q39" s="155">
        <f t="shared" si="107"/>
        <v>540</v>
      </c>
      <c r="R39" s="155">
        <f t="shared" si="108"/>
        <v>135</v>
      </c>
      <c r="S39" s="155">
        <f t="shared" si="109"/>
        <v>135</v>
      </c>
      <c r="T39" s="155">
        <f t="shared" si="110"/>
        <v>135</v>
      </c>
      <c r="U39" s="155">
        <f t="shared" si="111"/>
        <v>135</v>
      </c>
      <c r="V39" s="211" t="str">
        <f aca="true" t="shared" si="124" ref="V39:V46">IF(Q39-SUM(R39:U39)=0,"OK","Error!")</f>
        <v>OK</v>
      </c>
      <c r="W39" s="211"/>
      <c r="X39" s="155">
        <f t="shared" si="112"/>
        <v>180</v>
      </c>
      <c r="Y39" s="155">
        <f t="shared" si="113"/>
        <v>45</v>
      </c>
      <c r="Z39" s="155">
        <f t="shared" si="114"/>
        <v>45</v>
      </c>
      <c r="AA39" s="155">
        <f t="shared" si="115"/>
        <v>45</v>
      </c>
      <c r="AB39" s="155">
        <f t="shared" si="116"/>
        <v>45</v>
      </c>
      <c r="AC39" s="211" t="str">
        <f t="shared" si="117"/>
        <v>OK</v>
      </c>
      <c r="AD39" s="211"/>
      <c r="AE39" s="155">
        <f aca="true" t="shared" si="125" ref="AE39:AE45">ROUND($J39*G39,2)</f>
        <v>135</v>
      </c>
      <c r="AF39" s="155">
        <f aca="true" t="shared" si="126" ref="AF39:AF45">IF($C39=1,AE39,IF($C39="All",ROUND(AE39/4,2),0))</f>
        <v>33.75</v>
      </c>
      <c r="AG39" s="155">
        <f aca="true" t="shared" si="127" ref="AG39:AG45">IF($C39=2,AE39,IF($C39="All",ROUND(AE39/4,2),0))</f>
        <v>33.75</v>
      </c>
      <c r="AH39" s="155">
        <f aca="true" t="shared" si="128" ref="AH39:AH45">IF($C39=3,$J39,IF($C39="All",ROUND(AE39/4,2),0))</f>
        <v>33.75</v>
      </c>
      <c r="AI39" s="155">
        <f t="shared" si="118"/>
        <v>33.75</v>
      </c>
      <c r="AJ39" s="211" t="str">
        <f t="shared" si="119"/>
        <v>OK</v>
      </c>
      <c r="AK39" s="211"/>
      <c r="AL39" s="155">
        <f aca="true" t="shared" si="129" ref="AL39:AL45">ROUND($J39*H39,2)</f>
        <v>45</v>
      </c>
      <c r="AM39" s="155">
        <f aca="true" t="shared" si="130" ref="AM39:AM45">IF($C39=1,AL39,IF($C39="All",ROUND(AL39/4,2),0))</f>
        <v>11.25</v>
      </c>
      <c r="AN39" s="155">
        <f aca="true" t="shared" si="131" ref="AN39:AN45">IF($C39=2,AL39,IF($C39="All",ROUND(AL39/4,2),0))</f>
        <v>11.25</v>
      </c>
      <c r="AO39" s="155">
        <f aca="true" t="shared" si="132" ref="AO39:AO45">IF($C39=3,$J39,IF($C39="All",ROUND(AL39/4,2),0))</f>
        <v>11.25</v>
      </c>
      <c r="AP39" s="155">
        <f t="shared" si="120"/>
        <v>11.25</v>
      </c>
      <c r="AQ39" s="211" t="str">
        <f t="shared" si="121"/>
        <v>OK</v>
      </c>
      <c r="AR39" s="211">
        <f t="shared" si="31"/>
        <v>0</v>
      </c>
      <c r="AS39" s="211"/>
    </row>
    <row r="40" spans="1:45" ht="18.75">
      <c r="A40" s="120">
        <v>3</v>
      </c>
      <c r="B40" s="107" t="s">
        <v>304</v>
      </c>
      <c r="C40" s="101" t="s">
        <v>185</v>
      </c>
      <c r="D40" s="208">
        <v>300</v>
      </c>
      <c r="E40" s="198">
        <f aca="true" t="shared" si="133" ref="E40:E45">E39</f>
        <v>0.6</v>
      </c>
      <c r="F40" s="194">
        <f aca="true" t="shared" si="134" ref="F40:F45">F39</f>
        <v>0.2</v>
      </c>
      <c r="G40" s="195">
        <f t="shared" si="122"/>
        <v>0.15000000000000002</v>
      </c>
      <c r="H40" s="200">
        <f aca="true" t="shared" si="135" ref="H40:H45">H39</f>
        <v>0.05</v>
      </c>
      <c r="I40" s="83"/>
      <c r="J40" s="155">
        <f t="shared" si="102"/>
        <v>300</v>
      </c>
      <c r="K40" s="155">
        <f t="shared" si="103"/>
        <v>75</v>
      </c>
      <c r="L40" s="155">
        <f t="shared" si="104"/>
        <v>75</v>
      </c>
      <c r="M40" s="155">
        <f t="shared" si="105"/>
        <v>75</v>
      </c>
      <c r="N40" s="155">
        <f t="shared" si="106"/>
        <v>75</v>
      </c>
      <c r="O40" s="211" t="str">
        <f t="shared" si="123"/>
        <v>OK</v>
      </c>
      <c r="P40" s="211"/>
      <c r="Q40" s="155">
        <f t="shared" si="107"/>
        <v>180</v>
      </c>
      <c r="R40" s="155">
        <f t="shared" si="108"/>
        <v>45</v>
      </c>
      <c r="S40" s="155">
        <f t="shared" si="109"/>
        <v>45</v>
      </c>
      <c r="T40" s="155">
        <f t="shared" si="110"/>
        <v>45</v>
      </c>
      <c r="U40" s="155">
        <f t="shared" si="111"/>
        <v>45</v>
      </c>
      <c r="V40" s="211" t="str">
        <f t="shared" si="124"/>
        <v>OK</v>
      </c>
      <c r="W40" s="211"/>
      <c r="X40" s="155">
        <f t="shared" si="112"/>
        <v>60</v>
      </c>
      <c r="Y40" s="155">
        <f t="shared" si="113"/>
        <v>15</v>
      </c>
      <c r="Z40" s="155">
        <f t="shared" si="114"/>
        <v>15</v>
      </c>
      <c r="AA40" s="155">
        <f t="shared" si="115"/>
        <v>15</v>
      </c>
      <c r="AB40" s="155">
        <f t="shared" si="116"/>
        <v>15</v>
      </c>
      <c r="AC40" s="211" t="str">
        <f t="shared" si="117"/>
        <v>OK</v>
      </c>
      <c r="AD40" s="211"/>
      <c r="AE40" s="155">
        <f t="shared" si="125"/>
        <v>45</v>
      </c>
      <c r="AF40" s="155">
        <f t="shared" si="126"/>
        <v>11.25</v>
      </c>
      <c r="AG40" s="155">
        <f t="shared" si="127"/>
        <v>11.25</v>
      </c>
      <c r="AH40" s="155">
        <f t="shared" si="128"/>
        <v>11.25</v>
      </c>
      <c r="AI40" s="155">
        <f t="shared" si="118"/>
        <v>11.25</v>
      </c>
      <c r="AJ40" s="211" t="str">
        <f t="shared" si="119"/>
        <v>OK</v>
      </c>
      <c r="AK40" s="211"/>
      <c r="AL40" s="155">
        <f t="shared" si="129"/>
        <v>15</v>
      </c>
      <c r="AM40" s="155">
        <f t="shared" si="130"/>
        <v>3.75</v>
      </c>
      <c r="AN40" s="155">
        <f t="shared" si="131"/>
        <v>3.75</v>
      </c>
      <c r="AO40" s="155">
        <f t="shared" si="132"/>
        <v>3.75</v>
      </c>
      <c r="AP40" s="155">
        <f t="shared" si="120"/>
        <v>3.75</v>
      </c>
      <c r="AQ40" s="211" t="str">
        <f t="shared" si="121"/>
        <v>OK</v>
      </c>
      <c r="AR40" s="211">
        <f t="shared" si="31"/>
        <v>0</v>
      </c>
      <c r="AS40" s="211"/>
    </row>
    <row r="41" spans="1:45" ht="18.75">
      <c r="A41" s="120">
        <v>4</v>
      </c>
      <c r="B41" s="107" t="s">
        <v>305</v>
      </c>
      <c r="C41" s="101" t="s">
        <v>185</v>
      </c>
      <c r="D41" s="208">
        <v>1000</v>
      </c>
      <c r="E41" s="198">
        <f t="shared" si="133"/>
        <v>0.6</v>
      </c>
      <c r="F41" s="194">
        <f t="shared" si="134"/>
        <v>0.2</v>
      </c>
      <c r="G41" s="195">
        <f t="shared" si="122"/>
        <v>0.15000000000000002</v>
      </c>
      <c r="H41" s="200">
        <f t="shared" si="135"/>
        <v>0.05</v>
      </c>
      <c r="I41" s="83"/>
      <c r="J41" s="155">
        <f t="shared" si="102"/>
        <v>1000</v>
      </c>
      <c r="K41" s="155">
        <f t="shared" si="103"/>
        <v>250</v>
      </c>
      <c r="L41" s="155">
        <f t="shared" si="104"/>
        <v>250</v>
      </c>
      <c r="M41" s="155">
        <f t="shared" si="105"/>
        <v>250</v>
      </c>
      <c r="N41" s="155">
        <f t="shared" si="106"/>
        <v>250</v>
      </c>
      <c r="O41" s="211" t="str">
        <f t="shared" si="123"/>
        <v>OK</v>
      </c>
      <c r="P41" s="211"/>
      <c r="Q41" s="155">
        <f t="shared" si="107"/>
        <v>600</v>
      </c>
      <c r="R41" s="155">
        <f t="shared" si="108"/>
        <v>150</v>
      </c>
      <c r="S41" s="155">
        <f t="shared" si="109"/>
        <v>150</v>
      </c>
      <c r="T41" s="155">
        <f t="shared" si="110"/>
        <v>150</v>
      </c>
      <c r="U41" s="155">
        <f t="shared" si="111"/>
        <v>150</v>
      </c>
      <c r="V41" s="211" t="str">
        <f t="shared" si="124"/>
        <v>OK</v>
      </c>
      <c r="W41" s="211"/>
      <c r="X41" s="155">
        <f t="shared" si="112"/>
        <v>200</v>
      </c>
      <c r="Y41" s="155">
        <f t="shared" si="113"/>
        <v>50</v>
      </c>
      <c r="Z41" s="155">
        <f t="shared" si="114"/>
        <v>50</v>
      </c>
      <c r="AA41" s="155">
        <f t="shared" si="115"/>
        <v>50</v>
      </c>
      <c r="AB41" s="155">
        <f t="shared" si="116"/>
        <v>50</v>
      </c>
      <c r="AC41" s="211" t="str">
        <f t="shared" si="117"/>
        <v>OK</v>
      </c>
      <c r="AD41" s="211"/>
      <c r="AE41" s="155">
        <f t="shared" si="125"/>
        <v>150</v>
      </c>
      <c r="AF41" s="155">
        <f t="shared" si="126"/>
        <v>37.5</v>
      </c>
      <c r="AG41" s="155">
        <f t="shared" si="127"/>
        <v>37.5</v>
      </c>
      <c r="AH41" s="155">
        <f t="shared" si="128"/>
        <v>37.5</v>
      </c>
      <c r="AI41" s="155">
        <f t="shared" si="118"/>
        <v>37.5</v>
      </c>
      <c r="AJ41" s="211" t="str">
        <f t="shared" si="119"/>
        <v>OK</v>
      </c>
      <c r="AK41" s="211"/>
      <c r="AL41" s="155">
        <f t="shared" si="129"/>
        <v>50</v>
      </c>
      <c r="AM41" s="155">
        <f t="shared" si="130"/>
        <v>12.5</v>
      </c>
      <c r="AN41" s="155">
        <f t="shared" si="131"/>
        <v>12.5</v>
      </c>
      <c r="AO41" s="155">
        <f t="shared" si="132"/>
        <v>12.5</v>
      </c>
      <c r="AP41" s="155">
        <f t="shared" si="120"/>
        <v>12.5</v>
      </c>
      <c r="AQ41" s="211" t="str">
        <f t="shared" si="121"/>
        <v>OK</v>
      </c>
      <c r="AR41" s="211">
        <f t="shared" si="31"/>
        <v>0</v>
      </c>
      <c r="AS41" s="211"/>
    </row>
    <row r="42" spans="1:45" ht="18.75">
      <c r="A42" s="120">
        <v>5</v>
      </c>
      <c r="B42" s="107" t="s">
        <v>306</v>
      </c>
      <c r="C42" s="101" t="s">
        <v>185</v>
      </c>
      <c r="D42" s="208">
        <v>4</v>
      </c>
      <c r="E42" s="198">
        <f t="shared" si="133"/>
        <v>0.6</v>
      </c>
      <c r="F42" s="194">
        <f t="shared" si="134"/>
        <v>0.2</v>
      </c>
      <c r="G42" s="195">
        <f t="shared" si="122"/>
        <v>0.15000000000000002</v>
      </c>
      <c r="H42" s="200">
        <f t="shared" si="135"/>
        <v>0.05</v>
      </c>
      <c r="I42" s="83"/>
      <c r="J42" s="155">
        <f t="shared" si="102"/>
        <v>4</v>
      </c>
      <c r="K42" s="155">
        <f t="shared" si="103"/>
        <v>1</v>
      </c>
      <c r="L42" s="155">
        <f t="shared" si="104"/>
        <v>1</v>
      </c>
      <c r="M42" s="155">
        <f t="shared" si="105"/>
        <v>1</v>
      </c>
      <c r="N42" s="155">
        <f t="shared" si="106"/>
        <v>1</v>
      </c>
      <c r="O42" s="211" t="str">
        <f t="shared" si="123"/>
        <v>OK</v>
      </c>
      <c r="P42" s="211"/>
      <c r="Q42" s="155">
        <f t="shared" si="107"/>
        <v>2.4</v>
      </c>
      <c r="R42" s="155">
        <f t="shared" si="108"/>
        <v>1</v>
      </c>
      <c r="S42" s="155">
        <f t="shared" si="109"/>
        <v>1</v>
      </c>
      <c r="T42" s="155">
        <f t="shared" si="110"/>
        <v>1</v>
      </c>
      <c r="U42" s="155">
        <f t="shared" si="111"/>
        <v>-0.6000000000000001</v>
      </c>
      <c r="V42" s="211" t="str">
        <f t="shared" si="124"/>
        <v>OK</v>
      </c>
      <c r="W42" s="211"/>
      <c r="X42" s="155">
        <f t="shared" si="112"/>
        <v>0.8</v>
      </c>
      <c r="Y42" s="155">
        <f t="shared" si="113"/>
        <v>0</v>
      </c>
      <c r="Z42" s="155">
        <f t="shared" si="114"/>
        <v>0</v>
      </c>
      <c r="AA42" s="155">
        <f t="shared" si="115"/>
        <v>0</v>
      </c>
      <c r="AB42" s="155">
        <f t="shared" si="116"/>
        <v>0.8</v>
      </c>
      <c r="AC42" s="211" t="str">
        <f t="shared" si="117"/>
        <v>OK</v>
      </c>
      <c r="AD42" s="211"/>
      <c r="AE42" s="155">
        <f t="shared" si="125"/>
        <v>0.6</v>
      </c>
      <c r="AF42" s="155">
        <f t="shared" si="126"/>
        <v>0.15</v>
      </c>
      <c r="AG42" s="155">
        <f t="shared" si="127"/>
        <v>0.15</v>
      </c>
      <c r="AH42" s="155">
        <f t="shared" si="128"/>
        <v>0.15</v>
      </c>
      <c r="AI42" s="155">
        <f t="shared" si="118"/>
        <v>0.15000000000000002</v>
      </c>
      <c r="AJ42" s="211" t="str">
        <f t="shared" si="119"/>
        <v>OK</v>
      </c>
      <c r="AK42" s="211"/>
      <c r="AL42" s="155">
        <f t="shared" si="129"/>
        <v>0.2</v>
      </c>
      <c r="AM42" s="155">
        <f t="shared" si="130"/>
        <v>0.05</v>
      </c>
      <c r="AN42" s="155">
        <f t="shared" si="131"/>
        <v>0.05</v>
      </c>
      <c r="AO42" s="155">
        <f t="shared" si="132"/>
        <v>0.05</v>
      </c>
      <c r="AP42" s="155">
        <f t="shared" si="120"/>
        <v>0.04999999999999999</v>
      </c>
      <c r="AQ42" s="211" t="str">
        <f t="shared" si="121"/>
        <v>OK</v>
      </c>
      <c r="AR42" s="211">
        <f t="shared" si="31"/>
        <v>0</v>
      </c>
      <c r="AS42" s="211"/>
    </row>
    <row r="43" spans="1:45" ht="18.75">
      <c r="A43" s="120">
        <v>6</v>
      </c>
      <c r="B43" s="107"/>
      <c r="C43" s="101"/>
      <c r="D43" s="210">
        <v>0</v>
      </c>
      <c r="E43" s="198">
        <f t="shared" si="133"/>
        <v>0.6</v>
      </c>
      <c r="F43" s="194">
        <f t="shared" si="134"/>
        <v>0.2</v>
      </c>
      <c r="G43" s="195">
        <f t="shared" si="122"/>
        <v>0.15000000000000002</v>
      </c>
      <c r="H43" s="200">
        <f t="shared" si="135"/>
        <v>0.05</v>
      </c>
      <c r="I43" s="83"/>
      <c r="J43" s="155">
        <f t="shared" si="102"/>
        <v>0</v>
      </c>
      <c r="K43" s="155">
        <f t="shared" si="103"/>
        <v>0</v>
      </c>
      <c r="L43" s="155">
        <f t="shared" si="104"/>
        <v>0</v>
      </c>
      <c r="M43" s="155">
        <f t="shared" si="105"/>
        <v>0</v>
      </c>
      <c r="N43" s="155">
        <f t="shared" si="106"/>
        <v>0</v>
      </c>
      <c r="O43" s="211" t="str">
        <f t="shared" si="123"/>
        <v>OK</v>
      </c>
      <c r="P43" s="211"/>
      <c r="Q43" s="155">
        <f t="shared" si="107"/>
        <v>0</v>
      </c>
      <c r="R43" s="155">
        <f t="shared" si="108"/>
        <v>0</v>
      </c>
      <c r="S43" s="155">
        <f t="shared" si="109"/>
        <v>0</v>
      </c>
      <c r="T43" s="155">
        <f t="shared" si="110"/>
        <v>0</v>
      </c>
      <c r="U43" s="155">
        <f t="shared" si="111"/>
        <v>0</v>
      </c>
      <c r="V43" s="211" t="str">
        <f t="shared" si="124"/>
        <v>OK</v>
      </c>
      <c r="W43" s="211"/>
      <c r="X43" s="155">
        <f t="shared" si="112"/>
        <v>0</v>
      </c>
      <c r="Y43" s="155">
        <f t="shared" si="113"/>
        <v>0</v>
      </c>
      <c r="Z43" s="155">
        <f t="shared" si="114"/>
        <v>0</v>
      </c>
      <c r="AA43" s="155">
        <f t="shared" si="115"/>
        <v>0</v>
      </c>
      <c r="AB43" s="155">
        <f t="shared" si="116"/>
        <v>0</v>
      </c>
      <c r="AC43" s="211" t="str">
        <f t="shared" si="117"/>
        <v>OK</v>
      </c>
      <c r="AD43" s="211"/>
      <c r="AE43" s="155">
        <f t="shared" si="125"/>
        <v>0</v>
      </c>
      <c r="AF43" s="155">
        <f t="shared" si="126"/>
        <v>0</v>
      </c>
      <c r="AG43" s="155">
        <f t="shared" si="127"/>
        <v>0</v>
      </c>
      <c r="AH43" s="155">
        <f t="shared" si="128"/>
        <v>0</v>
      </c>
      <c r="AI43" s="155">
        <f t="shared" si="118"/>
        <v>0</v>
      </c>
      <c r="AJ43" s="211" t="str">
        <f t="shared" si="119"/>
        <v>OK</v>
      </c>
      <c r="AK43" s="211"/>
      <c r="AL43" s="155">
        <f t="shared" si="129"/>
        <v>0</v>
      </c>
      <c r="AM43" s="155">
        <f t="shared" si="130"/>
        <v>0</v>
      </c>
      <c r="AN43" s="155">
        <f t="shared" si="131"/>
        <v>0</v>
      </c>
      <c r="AO43" s="155">
        <f t="shared" si="132"/>
        <v>0</v>
      </c>
      <c r="AP43" s="155">
        <f t="shared" si="120"/>
        <v>0</v>
      </c>
      <c r="AQ43" s="211" t="str">
        <f t="shared" si="121"/>
        <v>OK</v>
      </c>
      <c r="AR43" s="211">
        <f t="shared" si="31"/>
        <v>0</v>
      </c>
      <c r="AS43" s="211"/>
    </row>
    <row r="44" spans="1:45" ht="18.75">
      <c r="A44" s="120">
        <v>7</v>
      </c>
      <c r="B44" s="107"/>
      <c r="C44" s="101"/>
      <c r="D44" s="210">
        <v>0</v>
      </c>
      <c r="E44" s="198">
        <f t="shared" si="133"/>
        <v>0.6</v>
      </c>
      <c r="F44" s="194">
        <f t="shared" si="134"/>
        <v>0.2</v>
      </c>
      <c r="G44" s="195">
        <f t="shared" si="122"/>
        <v>0.15000000000000002</v>
      </c>
      <c r="H44" s="200">
        <f t="shared" si="135"/>
        <v>0.05</v>
      </c>
      <c r="I44" s="83"/>
      <c r="J44" s="155">
        <f t="shared" si="102"/>
        <v>0</v>
      </c>
      <c r="K44" s="155">
        <f t="shared" si="103"/>
        <v>0</v>
      </c>
      <c r="L44" s="155">
        <f t="shared" si="104"/>
        <v>0</v>
      </c>
      <c r="M44" s="155">
        <f t="shared" si="105"/>
        <v>0</v>
      </c>
      <c r="N44" s="155">
        <f t="shared" si="106"/>
        <v>0</v>
      </c>
      <c r="O44" s="211" t="str">
        <f t="shared" si="123"/>
        <v>OK</v>
      </c>
      <c r="P44" s="211"/>
      <c r="Q44" s="155">
        <f t="shared" si="107"/>
        <v>0</v>
      </c>
      <c r="R44" s="155">
        <f t="shared" si="108"/>
        <v>0</v>
      </c>
      <c r="S44" s="155">
        <f t="shared" si="109"/>
        <v>0</v>
      </c>
      <c r="T44" s="155">
        <f t="shared" si="110"/>
        <v>0</v>
      </c>
      <c r="U44" s="155">
        <f t="shared" si="111"/>
        <v>0</v>
      </c>
      <c r="V44" s="211" t="str">
        <f t="shared" si="124"/>
        <v>OK</v>
      </c>
      <c r="W44" s="211"/>
      <c r="X44" s="155">
        <f t="shared" si="112"/>
        <v>0</v>
      </c>
      <c r="Y44" s="155">
        <f t="shared" si="113"/>
        <v>0</v>
      </c>
      <c r="Z44" s="155">
        <f t="shared" si="114"/>
        <v>0</v>
      </c>
      <c r="AA44" s="155">
        <f t="shared" si="115"/>
        <v>0</v>
      </c>
      <c r="AB44" s="155">
        <f t="shared" si="116"/>
        <v>0</v>
      </c>
      <c r="AC44" s="211" t="str">
        <f t="shared" si="117"/>
        <v>OK</v>
      </c>
      <c r="AD44" s="211"/>
      <c r="AE44" s="155">
        <f t="shared" si="125"/>
        <v>0</v>
      </c>
      <c r="AF44" s="155">
        <f t="shared" si="126"/>
        <v>0</v>
      </c>
      <c r="AG44" s="155">
        <f t="shared" si="127"/>
        <v>0</v>
      </c>
      <c r="AH44" s="155">
        <f t="shared" si="128"/>
        <v>0</v>
      </c>
      <c r="AI44" s="155">
        <f t="shared" si="118"/>
        <v>0</v>
      </c>
      <c r="AJ44" s="211" t="str">
        <f t="shared" si="119"/>
        <v>OK</v>
      </c>
      <c r="AK44" s="211"/>
      <c r="AL44" s="155">
        <f t="shared" si="129"/>
        <v>0</v>
      </c>
      <c r="AM44" s="155">
        <f t="shared" si="130"/>
        <v>0</v>
      </c>
      <c r="AN44" s="155">
        <f t="shared" si="131"/>
        <v>0</v>
      </c>
      <c r="AO44" s="155">
        <f t="shared" si="132"/>
        <v>0</v>
      </c>
      <c r="AP44" s="155">
        <f t="shared" si="120"/>
        <v>0</v>
      </c>
      <c r="AQ44" s="211" t="str">
        <f t="shared" si="121"/>
        <v>OK</v>
      </c>
      <c r="AR44" s="211">
        <f t="shared" si="31"/>
        <v>0</v>
      </c>
      <c r="AS44" s="211"/>
    </row>
    <row r="45" spans="1:45" ht="18.75">
      <c r="A45" s="120">
        <v>8</v>
      </c>
      <c r="B45" s="107"/>
      <c r="C45" s="101"/>
      <c r="D45" s="208"/>
      <c r="E45" s="202">
        <f t="shared" si="133"/>
        <v>0.6</v>
      </c>
      <c r="F45" s="203">
        <f t="shared" si="134"/>
        <v>0.2</v>
      </c>
      <c r="G45" s="204">
        <f t="shared" si="122"/>
        <v>0.15000000000000002</v>
      </c>
      <c r="H45" s="205">
        <f t="shared" si="135"/>
        <v>0.05</v>
      </c>
      <c r="I45" s="83"/>
      <c r="J45" s="155">
        <f t="shared" si="102"/>
        <v>0</v>
      </c>
      <c r="K45" s="155">
        <f t="shared" si="103"/>
        <v>0</v>
      </c>
      <c r="L45" s="155">
        <f t="shared" si="104"/>
        <v>0</v>
      </c>
      <c r="M45" s="155">
        <f t="shared" si="105"/>
        <v>0</v>
      </c>
      <c r="N45" s="155">
        <f t="shared" si="106"/>
        <v>0</v>
      </c>
      <c r="O45" s="211" t="str">
        <f t="shared" si="123"/>
        <v>OK</v>
      </c>
      <c r="P45" s="211"/>
      <c r="Q45" s="155">
        <f t="shared" si="107"/>
        <v>0</v>
      </c>
      <c r="R45" s="155">
        <f t="shared" si="108"/>
        <v>0</v>
      </c>
      <c r="S45" s="155">
        <f t="shared" si="109"/>
        <v>0</v>
      </c>
      <c r="T45" s="155">
        <f t="shared" si="110"/>
        <v>0</v>
      </c>
      <c r="U45" s="155">
        <f t="shared" si="111"/>
        <v>0</v>
      </c>
      <c r="V45" s="211" t="str">
        <f t="shared" si="124"/>
        <v>OK</v>
      </c>
      <c r="W45" s="211"/>
      <c r="X45" s="155">
        <f t="shared" si="112"/>
        <v>0</v>
      </c>
      <c r="Y45" s="155">
        <f t="shared" si="113"/>
        <v>0</v>
      </c>
      <c r="Z45" s="155">
        <f t="shared" si="114"/>
        <v>0</v>
      </c>
      <c r="AA45" s="155">
        <f t="shared" si="115"/>
        <v>0</v>
      </c>
      <c r="AB45" s="155">
        <f t="shared" si="116"/>
        <v>0</v>
      </c>
      <c r="AC45" s="211" t="str">
        <f t="shared" si="117"/>
        <v>OK</v>
      </c>
      <c r="AD45" s="211"/>
      <c r="AE45" s="155">
        <f t="shared" si="125"/>
        <v>0</v>
      </c>
      <c r="AF45" s="155">
        <f t="shared" si="126"/>
        <v>0</v>
      </c>
      <c r="AG45" s="155">
        <f t="shared" si="127"/>
        <v>0</v>
      </c>
      <c r="AH45" s="155">
        <f t="shared" si="128"/>
        <v>0</v>
      </c>
      <c r="AI45" s="155">
        <f t="shared" si="118"/>
        <v>0</v>
      </c>
      <c r="AJ45" s="211" t="str">
        <f t="shared" si="119"/>
        <v>OK</v>
      </c>
      <c r="AK45" s="211"/>
      <c r="AL45" s="155">
        <f t="shared" si="129"/>
        <v>0</v>
      </c>
      <c r="AM45" s="155">
        <f t="shared" si="130"/>
        <v>0</v>
      </c>
      <c r="AN45" s="155">
        <f t="shared" si="131"/>
        <v>0</v>
      </c>
      <c r="AO45" s="155">
        <f t="shared" si="132"/>
        <v>0</v>
      </c>
      <c r="AP45" s="155">
        <f t="shared" si="120"/>
        <v>0</v>
      </c>
      <c r="AQ45" s="211" t="str">
        <f t="shared" si="121"/>
        <v>OK</v>
      </c>
      <c r="AR45" s="211">
        <f t="shared" si="31"/>
        <v>0</v>
      </c>
      <c r="AS45" s="211"/>
    </row>
    <row r="46" spans="1:45" ht="19.5" thickBot="1">
      <c r="A46" s="98"/>
      <c r="B46" s="109" t="s">
        <v>195</v>
      </c>
      <c r="C46" s="87"/>
      <c r="D46" s="117">
        <f>SUM(D38:D45)</f>
        <v>2804</v>
      </c>
      <c r="E46" s="111"/>
      <c r="F46" s="111"/>
      <c r="G46" s="111"/>
      <c r="H46" s="111"/>
      <c r="I46" s="83"/>
      <c r="J46" s="137">
        <f>SUM(J38:J45)</f>
        <v>2804</v>
      </c>
      <c r="K46" s="137">
        <f>SUM(K38:K45)</f>
        <v>701</v>
      </c>
      <c r="L46" s="137">
        <f>SUM(L38:L45)</f>
        <v>701</v>
      </c>
      <c r="M46" s="137">
        <f>SUM(M38:M45)</f>
        <v>701</v>
      </c>
      <c r="N46" s="137">
        <f>SUM(N38:N45)</f>
        <v>701</v>
      </c>
      <c r="O46" s="211" t="str">
        <f t="shared" si="123"/>
        <v>OK</v>
      </c>
      <c r="P46" s="211"/>
      <c r="Q46" s="137">
        <f>SUM(Q38:Q45)</f>
        <v>1682.4</v>
      </c>
      <c r="R46" s="137">
        <f>SUM(R38:R45)</f>
        <v>421</v>
      </c>
      <c r="S46" s="137">
        <f>SUM(S38:S45)</f>
        <v>421</v>
      </c>
      <c r="T46" s="137">
        <f>SUM(T38:T45)</f>
        <v>421</v>
      </c>
      <c r="U46" s="137">
        <f>SUM(U38:U45)</f>
        <v>419.4</v>
      </c>
      <c r="V46" s="211" t="str">
        <f t="shared" si="124"/>
        <v>OK</v>
      </c>
      <c r="W46" s="211"/>
      <c r="X46" s="137">
        <f>SUM(X38:X45)</f>
        <v>560.8</v>
      </c>
      <c r="Y46" s="137">
        <f>SUM(Y38:Y45)</f>
        <v>140</v>
      </c>
      <c r="Z46" s="137">
        <f>SUM(Z38:Z45)</f>
        <v>140</v>
      </c>
      <c r="AA46" s="137">
        <f>SUM(AA38:AA45)</f>
        <v>140</v>
      </c>
      <c r="AB46" s="137">
        <f>SUM(AB38:AB45)</f>
        <v>140.8</v>
      </c>
      <c r="AC46" s="211" t="str">
        <f>IF(X46-SUM(Y46:AB46)=0,"OK","Error!")</f>
        <v>OK</v>
      </c>
      <c r="AD46" s="211"/>
      <c r="AE46" s="137">
        <f>SUM(AE38:AE45)</f>
        <v>420.6</v>
      </c>
      <c r="AF46" s="137">
        <f>SUM(AF38:AF45)</f>
        <v>105.15</v>
      </c>
      <c r="AG46" s="137">
        <f>SUM(AG38:AG45)</f>
        <v>105.15</v>
      </c>
      <c r="AH46" s="137">
        <f>SUM(AH38:AH45)</f>
        <v>105.15</v>
      </c>
      <c r="AI46" s="137">
        <f>SUM(AI38:AI45)</f>
        <v>105.15</v>
      </c>
      <c r="AJ46" s="211" t="str">
        <f t="shared" si="119"/>
        <v>OK</v>
      </c>
      <c r="AK46" s="211"/>
      <c r="AL46" s="137">
        <f>SUM(AL38:AL45)</f>
        <v>140.2</v>
      </c>
      <c r="AM46" s="137">
        <f>SUM(AM38:AM45)</f>
        <v>35.05</v>
      </c>
      <c r="AN46" s="137">
        <f>SUM(AN38:AN45)</f>
        <v>35.05</v>
      </c>
      <c r="AO46" s="137">
        <f>SUM(AO38:AO45)</f>
        <v>35.05</v>
      </c>
      <c r="AP46" s="137">
        <f>SUM(AP38:AP45)</f>
        <v>35.05</v>
      </c>
      <c r="AQ46" s="211" t="str">
        <f>IF(AL46-SUM(AM46:AP46)=0,"OK","Error!")</f>
        <v>OK</v>
      </c>
      <c r="AR46" s="211">
        <f t="shared" si="31"/>
        <v>0</v>
      </c>
      <c r="AS46" s="211"/>
    </row>
    <row r="47" spans="4:45" ht="18.75">
      <c r="D47" s="83"/>
      <c r="E47" s="154"/>
      <c r="F47" s="154"/>
      <c r="G47" s="154"/>
      <c r="H47" s="154"/>
      <c r="I47" s="83"/>
      <c r="J47" s="155"/>
      <c r="K47" s="211"/>
      <c r="L47" s="211"/>
      <c r="M47" s="211"/>
      <c r="N47" s="211"/>
      <c r="O47" s="211"/>
      <c r="P47" s="211"/>
      <c r="Q47" s="155"/>
      <c r="R47" s="211"/>
      <c r="S47" s="211"/>
      <c r="T47" s="211"/>
      <c r="U47" s="211"/>
      <c r="V47" s="211"/>
      <c r="W47" s="211"/>
      <c r="X47" s="155"/>
      <c r="Y47" s="211"/>
      <c r="Z47" s="211"/>
      <c r="AA47" s="211"/>
      <c r="AB47" s="211"/>
      <c r="AC47" s="211"/>
      <c r="AD47" s="211"/>
      <c r="AE47" s="155"/>
      <c r="AF47" s="211"/>
      <c r="AG47" s="211"/>
      <c r="AH47" s="211"/>
      <c r="AI47" s="211"/>
      <c r="AJ47" s="211"/>
      <c r="AK47" s="211"/>
      <c r="AL47" s="155"/>
      <c r="AM47" s="211"/>
      <c r="AN47" s="211"/>
      <c r="AO47" s="211"/>
      <c r="AP47" s="211"/>
      <c r="AQ47" s="211"/>
      <c r="AR47" s="211"/>
      <c r="AS47" s="211"/>
    </row>
    <row r="48" spans="4:45" ht="18.75">
      <c r="D48" s="83"/>
      <c r="E48" s="154"/>
      <c r="F48" s="154"/>
      <c r="G48" s="154"/>
      <c r="H48" s="154"/>
      <c r="I48" s="83"/>
      <c r="J48" s="155"/>
      <c r="K48" s="211"/>
      <c r="L48" s="211"/>
      <c r="M48" s="211"/>
      <c r="N48" s="211"/>
      <c r="O48" s="211"/>
      <c r="P48" s="211"/>
      <c r="Q48" s="155"/>
      <c r="R48" s="211"/>
      <c r="S48" s="211"/>
      <c r="T48" s="211"/>
      <c r="U48" s="211"/>
      <c r="V48" s="211"/>
      <c r="W48" s="211"/>
      <c r="X48" s="155"/>
      <c r="Y48" s="211"/>
      <c r="Z48" s="211"/>
      <c r="AA48" s="211"/>
      <c r="AB48" s="211"/>
      <c r="AC48" s="211"/>
      <c r="AD48" s="211"/>
      <c r="AE48" s="155"/>
      <c r="AF48" s="211"/>
      <c r="AG48" s="211"/>
      <c r="AH48" s="211"/>
      <c r="AI48" s="211"/>
      <c r="AJ48" s="211"/>
      <c r="AK48" s="211"/>
      <c r="AL48" s="155"/>
      <c r="AM48" s="211"/>
      <c r="AN48" s="211"/>
      <c r="AO48" s="211"/>
      <c r="AP48" s="211"/>
      <c r="AQ48" s="211"/>
      <c r="AR48" s="211"/>
      <c r="AS48" s="211"/>
    </row>
    <row r="49" spans="10:45" ht="19.5" thickBot="1"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</row>
    <row r="50" spans="1:45" ht="19.5" thickBot="1">
      <c r="A50" s="156" t="s">
        <v>221</v>
      </c>
      <c r="B50" s="157"/>
      <c r="C50" s="115"/>
      <c r="D50" s="213">
        <v>13000</v>
      </c>
      <c r="E50" s="214">
        <v>1</v>
      </c>
      <c r="F50" s="215">
        <v>0</v>
      </c>
      <c r="G50" s="215">
        <f>1-E50-F50-H50</f>
        <v>0</v>
      </c>
      <c r="H50" s="216">
        <v>0</v>
      </c>
      <c r="J50" s="155">
        <f>+D50</f>
        <v>13000</v>
      </c>
      <c r="K50" s="155">
        <f>J50/2</f>
        <v>6500</v>
      </c>
      <c r="L50" s="155">
        <f>IF($C50=2,$D50,IF($C50="All",ROUND(J50/4,0),0))</f>
        <v>0</v>
      </c>
      <c r="M50" s="155">
        <f>J50-K50</f>
        <v>6500</v>
      </c>
      <c r="N50" s="155">
        <f>IF($C50=4,$J50,IF($C50="All",ROUND(J50/4,0),0))</f>
        <v>0</v>
      </c>
      <c r="O50" s="211" t="str">
        <f>IF(J50-SUM(K50:N50)=0,"OK","Error!")</f>
        <v>OK</v>
      </c>
      <c r="P50" s="211"/>
      <c r="Q50" s="155">
        <f>J50</f>
        <v>13000</v>
      </c>
      <c r="R50" s="155">
        <f>K50</f>
        <v>6500</v>
      </c>
      <c r="S50" s="155"/>
      <c r="T50" s="155">
        <f>M50</f>
        <v>6500</v>
      </c>
      <c r="U50" s="155">
        <f>IF($C50=4,$J50,IF($C50="All",ROUND(Q50/4,0),0))</f>
        <v>0</v>
      </c>
      <c r="V50" s="211" t="str">
        <f>IF(Q50-SUM(R50:U50)=0,"OK","Error!")</f>
        <v>OK</v>
      </c>
      <c r="W50" s="211"/>
      <c r="X50" s="155"/>
      <c r="Y50" s="155"/>
      <c r="Z50" s="155"/>
      <c r="AA50" s="155"/>
      <c r="AB50" s="155"/>
      <c r="AC50" s="211"/>
      <c r="AD50" s="211"/>
      <c r="AE50" s="155"/>
      <c r="AF50" s="155"/>
      <c r="AG50" s="155"/>
      <c r="AH50" s="155"/>
      <c r="AI50" s="155"/>
      <c r="AJ50" s="211"/>
      <c r="AK50" s="211"/>
      <c r="AL50" s="155"/>
      <c r="AM50" s="155"/>
      <c r="AN50" s="155"/>
      <c r="AO50" s="155"/>
      <c r="AP50" s="155"/>
      <c r="AQ50" s="211"/>
      <c r="AR50" s="211"/>
      <c r="AS50" s="211"/>
    </row>
    <row r="51" spans="10:45" ht="19.5" thickBot="1"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</row>
    <row r="52" spans="4:45" ht="19.5" thickBot="1">
      <c r="D52" s="294" t="s">
        <v>324</v>
      </c>
      <c r="E52" s="396">
        <f>'Bud-A&amp;B Pers Exp'!J27</f>
        <v>68692.12</v>
      </c>
      <c r="F52" s="397"/>
      <c r="G52" s="290"/>
      <c r="H52" s="291"/>
      <c r="I52" s="29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</row>
    <row r="53" spans="4:45" ht="19.5" thickBot="1">
      <c r="D53" s="294" t="s">
        <v>326</v>
      </c>
      <c r="E53" s="396">
        <f>'Bud-A&amp;B Pers Exp'!J28</f>
        <v>73662.64</v>
      </c>
      <c r="F53" s="397"/>
      <c r="G53" s="289"/>
      <c r="H53" s="289"/>
      <c r="I53" s="289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>
        <f>+AL46+AL33+AL22+AL11</f>
        <v>434.2</v>
      </c>
      <c r="AM53" s="211"/>
      <c r="AN53" s="211"/>
      <c r="AO53" s="211"/>
      <c r="AP53" s="211"/>
      <c r="AQ53" s="211"/>
      <c r="AR53" s="211"/>
      <c r="AS53" s="211"/>
    </row>
    <row r="54" spans="4:45" ht="19.5" thickBot="1">
      <c r="D54" s="294" t="s">
        <v>322</v>
      </c>
      <c r="E54" s="396">
        <f>'Bud-A&amp;B Pers Exp'!J29</f>
        <v>9991.92</v>
      </c>
      <c r="F54" s="397"/>
      <c r="G54" s="295">
        <f>E54/SUM(E52:E53)</f>
        <v>0.07019027674241451</v>
      </c>
      <c r="H54" s="289" t="s">
        <v>351</v>
      </c>
      <c r="I54" s="289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</row>
    <row r="55" spans="4:45" ht="19.5" thickBot="1">
      <c r="D55" s="300" t="s">
        <v>336</v>
      </c>
      <c r="E55" s="396">
        <f>'Bud-A&amp;B Pers Exp'!J30</f>
        <v>31</v>
      </c>
      <c r="F55" s="397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</row>
    <row r="56" spans="10:45" ht="18.75"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</row>
    <row r="57" spans="10:45" ht="18.75"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</row>
    <row r="58" spans="10:45" ht="18.75"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</row>
    <row r="59" spans="10:45" ht="18.75"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</row>
    <row r="60" spans="10:45" ht="18.75"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</row>
    <row r="61" spans="6:45" ht="18.75">
      <c r="F61" s="289"/>
      <c r="G61" s="289"/>
      <c r="H61" s="289"/>
      <c r="I61" s="289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</row>
    <row r="62" spans="10:45" ht="18.75"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</row>
    <row r="63" spans="10:45" ht="18.75"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</row>
  </sheetData>
  <sheetProtection/>
  <mergeCells count="4">
    <mergeCell ref="E52:F52"/>
    <mergeCell ref="E53:F53"/>
    <mergeCell ref="E54:F54"/>
    <mergeCell ref="E55:F55"/>
  </mergeCells>
  <dataValidations count="2">
    <dataValidation type="list" allowBlank="1" showInputMessage="1" showErrorMessage="1" sqref="C14:C15 C43:C45">
      <formula1>$U$5:$U$9</formula1>
    </dataValidation>
    <dataValidation type="list" allowBlank="1" showInputMessage="1" showErrorMessage="1" sqref="C3:C10 C16:C21 C25:C32 C38:C42">
      <formula1>$BI$2:$BI$6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zoomScale="62" zoomScaleNormal="62" zoomScalePageLayoutView="0" workbookViewId="0" topLeftCell="A1">
      <selection activeCell="B33" sqref="B33"/>
    </sheetView>
  </sheetViews>
  <sheetFormatPr defaultColWidth="8.88671875" defaultRowHeight="15.75"/>
  <cols>
    <col min="1" max="1" width="3.6640625" style="91" customWidth="1"/>
    <col min="2" max="2" width="90.10546875" style="0" customWidth="1"/>
  </cols>
  <sheetData>
    <row r="1" s="23" customFormat="1" ht="15.75">
      <c r="A1" s="91"/>
    </row>
    <row r="2" spans="1:11" s="23" customFormat="1" ht="48" thickBot="1">
      <c r="A2" s="91"/>
      <c r="B2" s="89" t="s">
        <v>205</v>
      </c>
      <c r="C2" s="89" t="s">
        <v>201</v>
      </c>
      <c r="D2" s="89" t="s">
        <v>194</v>
      </c>
      <c r="E2" s="1"/>
      <c r="F2" s="23" t="s">
        <v>72</v>
      </c>
      <c r="G2" s="23" t="s">
        <v>187</v>
      </c>
      <c r="H2" s="23" t="s">
        <v>188</v>
      </c>
      <c r="I2" s="23" t="s">
        <v>189</v>
      </c>
      <c r="J2" s="23" t="s">
        <v>190</v>
      </c>
      <c r="K2" s="23" t="s">
        <v>191</v>
      </c>
    </row>
    <row r="3" spans="1:4" ht="15.75">
      <c r="A3" s="90" t="s">
        <v>114</v>
      </c>
      <c r="B3" s="84"/>
      <c r="C3" s="220"/>
      <c r="D3" s="69"/>
    </row>
    <row r="4" spans="1:15" s="23" customFormat="1" ht="15.75">
      <c r="A4" s="123"/>
      <c r="B4" s="131"/>
      <c r="C4" s="221">
        <v>1</v>
      </c>
      <c r="D4" s="85">
        <v>1</v>
      </c>
      <c r="E4" s="83"/>
      <c r="F4" s="83">
        <f>D4</f>
        <v>1</v>
      </c>
      <c r="G4" s="83">
        <f>IF($C4=1,$D4,IF($C4="All",ROUND($D4/4,0),0))</f>
        <v>1</v>
      </c>
      <c r="H4" s="83">
        <f>IF($C4=2,$D4,IF($C4="All",ROUND($D4/4,0),0))</f>
        <v>0</v>
      </c>
      <c r="I4" s="83">
        <f>IF($C4=3,$D4,IF($C4="All",ROUND($D4/4,0),0))</f>
        <v>0</v>
      </c>
      <c r="J4" s="83">
        <f>F4-SUM(G4:I4)</f>
        <v>0</v>
      </c>
      <c r="K4" s="5" t="str">
        <f>IF(F4-SUM(G4:J4)=0,"OK","Error!")</f>
        <v>OK</v>
      </c>
      <c r="O4" s="23">
        <v>1</v>
      </c>
    </row>
    <row r="5" spans="1:15" s="23" customFormat="1" ht="15.75">
      <c r="A5" s="123"/>
      <c r="B5" s="131"/>
      <c r="C5" s="221"/>
      <c r="D5" s="85"/>
      <c r="E5" s="83"/>
      <c r="F5" s="83">
        <f>D5</f>
        <v>0</v>
      </c>
      <c r="G5" s="83">
        <f>IF($C5=1,$D5,IF($C5="All",ROUND($D5/4,0),0))</f>
        <v>0</v>
      </c>
      <c r="H5" s="83">
        <f>IF($C5=2,$D5,IF($C5="All",ROUND($D5/4,0),0))</f>
        <v>0</v>
      </c>
      <c r="I5" s="83">
        <f>IF($C5=3,$D5,IF($C5="All",ROUND($D5/4,0),0))</f>
        <v>0</v>
      </c>
      <c r="J5" s="154">
        <f>F5-SUM(G5:I5)</f>
        <v>0</v>
      </c>
      <c r="K5" s="5" t="str">
        <f>IF(F5-SUM(G5:J5)=0,"OK","Error!")</f>
        <v>OK</v>
      </c>
      <c r="O5" s="23">
        <v>2</v>
      </c>
    </row>
    <row r="6" spans="1:15" s="23" customFormat="1" ht="15.75">
      <c r="A6" s="123"/>
      <c r="B6" s="131"/>
      <c r="C6" s="221"/>
      <c r="D6" s="85"/>
      <c r="E6" s="83"/>
      <c r="F6" s="83">
        <f>D6</f>
        <v>0</v>
      </c>
      <c r="G6" s="83">
        <f>IF($C6=1,$D6,IF($C6="All",ROUND($D6/4,0),0))</f>
        <v>0</v>
      </c>
      <c r="H6" s="83">
        <f>IF($C6=2,$D6,IF($C6="All",ROUND($D6/4,0),0))</f>
        <v>0</v>
      </c>
      <c r="I6" s="83">
        <f>IF($C6=3,$D6,IF($C6="All",ROUND($D6/4,0),0))</f>
        <v>0</v>
      </c>
      <c r="J6" s="154">
        <f>F6-SUM(G6:I6)</f>
        <v>0</v>
      </c>
      <c r="K6" s="5" t="str">
        <f>IF(F6-SUM(G6:J6)=0,"OK","Error!")</f>
        <v>OK</v>
      </c>
      <c r="O6" s="23">
        <v>3</v>
      </c>
    </row>
    <row r="7" spans="1:15" s="23" customFormat="1" ht="15.75">
      <c r="A7" s="123"/>
      <c r="B7" s="131"/>
      <c r="C7" s="101"/>
      <c r="D7" s="85"/>
      <c r="E7" s="83"/>
      <c r="F7" s="83">
        <f>D7</f>
        <v>0</v>
      </c>
      <c r="G7" s="83">
        <f>IF($C7=1,$D7,IF($C7="All",ROUND($D7/4,0),0))</f>
        <v>0</v>
      </c>
      <c r="H7" s="83">
        <f>IF($C7=2,$D7,IF($C7="All",ROUND($D7/4,0),0))</f>
        <v>0</v>
      </c>
      <c r="I7" s="83">
        <f>IF($C7=3,$D7,IF($C7="All",ROUND($D7/4,0),0))</f>
        <v>0</v>
      </c>
      <c r="J7" s="154">
        <f>F7-SUM(G7:I7)</f>
        <v>0</v>
      </c>
      <c r="K7" s="5" t="str">
        <f>IF(F7-SUM(G7:J7)=0,"OK","Error!")</f>
        <v>OK</v>
      </c>
      <c r="O7" s="23">
        <v>4</v>
      </c>
    </row>
    <row r="8" spans="1:15" s="23" customFormat="1" ht="16.5" thickBot="1">
      <c r="A8" s="124"/>
      <c r="B8" s="125" t="s">
        <v>175</v>
      </c>
      <c r="C8" s="222"/>
      <c r="D8" s="127">
        <f>SUM(D4:D7)</f>
        <v>1</v>
      </c>
      <c r="F8" s="6">
        <f>SUM(F4:F7)</f>
        <v>1</v>
      </c>
      <c r="G8" s="6">
        <f>SUM(G4:G7)</f>
        <v>1</v>
      </c>
      <c r="H8" s="6">
        <f>SUM(H4:H7)</f>
        <v>0</v>
      </c>
      <c r="I8" s="6">
        <f>SUM(I4:I7)</f>
        <v>0</v>
      </c>
      <c r="J8" s="6">
        <f>SUM(J4:J7)</f>
        <v>0</v>
      </c>
      <c r="K8" s="5" t="str">
        <f>IF(F8-SUM(G8:J8)=0,"OK","Error!")</f>
        <v>OK</v>
      </c>
      <c r="O8" s="23" t="s">
        <v>185</v>
      </c>
    </row>
    <row r="9" spans="1:4" s="23" customFormat="1" ht="16.5" thickBot="1">
      <c r="A9" s="92"/>
      <c r="B9" s="121"/>
      <c r="C9" s="223"/>
      <c r="D9" s="126"/>
    </row>
    <row r="10" spans="1:4" ht="15.75">
      <c r="A10" s="90" t="s">
        <v>115</v>
      </c>
      <c r="B10" s="84"/>
      <c r="C10" s="220"/>
      <c r="D10" s="69"/>
    </row>
    <row r="11" spans="1:11" s="23" customFormat="1" ht="15.75">
      <c r="A11" s="123"/>
      <c r="B11" s="131"/>
      <c r="C11" s="221">
        <v>2</v>
      </c>
      <c r="D11" s="85">
        <v>2</v>
      </c>
      <c r="E11" s="83"/>
      <c r="F11" s="83">
        <f>D11</f>
        <v>2</v>
      </c>
      <c r="G11" s="83">
        <f>IF($C11=1,$D11,IF($C11="All",ROUND($D11/4,0),0))</f>
        <v>0</v>
      </c>
      <c r="H11" s="83">
        <f>IF($C11=2,$D11,IF($C11="All",ROUND($D11/4,0),0))</f>
        <v>2</v>
      </c>
      <c r="I11" s="83">
        <f>IF($C11=3,$D11,IF($C11="All",ROUND($D11/4,0),0))</f>
        <v>0</v>
      </c>
      <c r="J11" s="154">
        <f>F11-SUM(G11:I11)</f>
        <v>0</v>
      </c>
      <c r="K11" s="5" t="str">
        <f>IF(F11-SUM(G11:J11)=0,"OK","Error!")</f>
        <v>OK</v>
      </c>
    </row>
    <row r="12" spans="1:11" s="23" customFormat="1" ht="15.75">
      <c r="A12" s="123"/>
      <c r="B12" s="131"/>
      <c r="C12" s="221"/>
      <c r="D12" s="85"/>
      <c r="E12" s="83"/>
      <c r="F12" s="83">
        <f>D12</f>
        <v>0</v>
      </c>
      <c r="G12" s="83">
        <f>IF($C12=1,$D12,IF($C12="All",ROUND($D12/4,0),0))</f>
        <v>0</v>
      </c>
      <c r="H12" s="83">
        <f>IF($C12=2,$D12,IF($C12="All",ROUND($D12/4,0),0))</f>
        <v>0</v>
      </c>
      <c r="I12" s="83">
        <f>IF($C12=3,$D12,IF($C12="All",ROUND($D12/4,0),0))</f>
        <v>0</v>
      </c>
      <c r="J12" s="154">
        <f>F12-SUM(G12:I12)</f>
        <v>0</v>
      </c>
      <c r="K12" s="5" t="str">
        <f>IF(F12-SUM(G12:J12)=0,"OK","Error!")</f>
        <v>OK</v>
      </c>
    </row>
    <row r="13" spans="1:11" s="23" customFormat="1" ht="15.75">
      <c r="A13" s="123"/>
      <c r="B13" s="131"/>
      <c r="C13" s="221"/>
      <c r="D13" s="85"/>
      <c r="E13" s="83"/>
      <c r="F13" s="83">
        <f>D13</f>
        <v>0</v>
      </c>
      <c r="G13" s="83">
        <f>IF($C13=1,$D13,IF($C13="All",ROUND($D13/4,0),0))</f>
        <v>0</v>
      </c>
      <c r="H13" s="83">
        <f>IF($C13=2,$D13,IF($C13="All",ROUND($D13/4,0),0))</f>
        <v>0</v>
      </c>
      <c r="I13" s="83">
        <f>IF($C13=3,$D13,IF($C13="All",ROUND($D13/4,0),0))</f>
        <v>0</v>
      </c>
      <c r="J13" s="154">
        <f>F13-SUM(G13:I13)</f>
        <v>0</v>
      </c>
      <c r="K13" s="5" t="str">
        <f>IF(F13-SUM(G13:J13)=0,"OK","Error!")</f>
        <v>OK</v>
      </c>
    </row>
    <row r="14" spans="1:11" s="23" customFormat="1" ht="15.75">
      <c r="A14" s="123"/>
      <c r="B14" s="131"/>
      <c r="C14" s="101"/>
      <c r="D14" s="85"/>
      <c r="E14" s="83"/>
      <c r="F14" s="83">
        <f>D14</f>
        <v>0</v>
      </c>
      <c r="G14" s="83">
        <f>IF($C14=1,$D14,IF($C14="All",ROUND($D14/4,0),0))</f>
        <v>0</v>
      </c>
      <c r="H14" s="83">
        <f>IF($C14=2,$D14,IF($C14="All",ROUND($D14/4,0),0))</f>
        <v>0</v>
      </c>
      <c r="I14" s="83">
        <f>IF($C14=3,$D14,IF($C14="All",ROUND($D14/4,0),0))</f>
        <v>0</v>
      </c>
      <c r="J14" s="154">
        <f>F14-SUM(G14:I14)</f>
        <v>0</v>
      </c>
      <c r="K14" s="5" t="str">
        <f>IF(F14-SUM(G14:J14)=0,"OK","Error!")</f>
        <v>OK</v>
      </c>
    </row>
    <row r="15" spans="1:11" s="23" customFormat="1" ht="16.5" thickBot="1">
      <c r="A15" s="124"/>
      <c r="B15" s="125" t="s">
        <v>175</v>
      </c>
      <c r="C15" s="222"/>
      <c r="D15" s="127">
        <f>SUM(D11:D14)</f>
        <v>2</v>
      </c>
      <c r="F15" s="6">
        <f>SUM(F11:F14)</f>
        <v>2</v>
      </c>
      <c r="G15" s="6">
        <f>SUM(G11:G14)</f>
        <v>0</v>
      </c>
      <c r="H15" s="6">
        <f>SUM(H11:H14)</f>
        <v>2</v>
      </c>
      <c r="I15" s="6">
        <f>SUM(I11:I14)</f>
        <v>0</v>
      </c>
      <c r="J15" s="6">
        <f>SUM(J11:J14)</f>
        <v>0</v>
      </c>
      <c r="K15" s="5" t="str">
        <f>IF(F15-SUM(G15:J15)=0,"OK","Error!")</f>
        <v>OK</v>
      </c>
    </row>
    <row r="16" spans="1:3" s="23" customFormat="1" ht="16.5" thickBot="1">
      <c r="A16" s="92"/>
      <c r="B16" s="73"/>
      <c r="C16" s="139"/>
    </row>
    <row r="17" spans="1:4" ht="15.75">
      <c r="A17" s="90" t="s">
        <v>116</v>
      </c>
      <c r="B17" s="84"/>
      <c r="C17" s="220"/>
      <c r="D17" s="69"/>
    </row>
    <row r="18" spans="1:11" s="23" customFormat="1" ht="15.75">
      <c r="A18" s="123"/>
      <c r="B18" s="131"/>
      <c r="C18" s="221">
        <v>3</v>
      </c>
      <c r="D18" s="85">
        <v>3</v>
      </c>
      <c r="E18" s="83"/>
      <c r="F18" s="83">
        <f>D18</f>
        <v>3</v>
      </c>
      <c r="G18" s="83">
        <f>IF($C18=1,$D18,IF($C18="All",ROUND($D18/4,0),0))</f>
        <v>0</v>
      </c>
      <c r="H18" s="83">
        <f>IF($C18=2,$D18,IF($C18="All",ROUND($D18/4,0),0))</f>
        <v>0</v>
      </c>
      <c r="I18" s="83">
        <f>IF($C18=3,$D18,IF($C18="All",ROUND($D18/4,0),0))</f>
        <v>3</v>
      </c>
      <c r="J18" s="154">
        <f>F18-SUM(G18:I18)</f>
        <v>0</v>
      </c>
      <c r="K18" s="5" t="str">
        <f>IF(F18-SUM(G18:J18)=0,"OK","Error!")</f>
        <v>OK</v>
      </c>
    </row>
    <row r="19" spans="1:11" s="23" customFormat="1" ht="15.75">
      <c r="A19" s="123"/>
      <c r="B19" s="131"/>
      <c r="C19" s="221"/>
      <c r="D19" s="85"/>
      <c r="E19" s="83"/>
      <c r="F19" s="83">
        <f>D19</f>
        <v>0</v>
      </c>
      <c r="G19" s="83">
        <f>IF($C19=1,$D19,IF($C19="All",ROUND($D19/4,0),0))</f>
        <v>0</v>
      </c>
      <c r="H19" s="83">
        <f>IF($C19=2,$D19,IF($C19="All",ROUND($D19/4,0),0))</f>
        <v>0</v>
      </c>
      <c r="I19" s="83">
        <f>IF($C19=3,$D19,IF($C19="All",ROUND($D19/4,0),0))</f>
        <v>0</v>
      </c>
      <c r="J19" s="154">
        <f>F19-SUM(G19:I19)</f>
        <v>0</v>
      </c>
      <c r="K19" s="5" t="str">
        <f>IF(F19-SUM(G19:J19)=0,"OK","Error!")</f>
        <v>OK</v>
      </c>
    </row>
    <row r="20" spans="1:11" s="23" customFormat="1" ht="15.75">
      <c r="A20" s="123"/>
      <c r="B20" s="131"/>
      <c r="C20" s="221"/>
      <c r="D20" s="85"/>
      <c r="E20" s="83"/>
      <c r="F20" s="83">
        <f>D20</f>
        <v>0</v>
      </c>
      <c r="G20" s="83">
        <f>IF($C20=1,$D20,IF($C20="All",ROUND($D20/4,0),0))</f>
        <v>0</v>
      </c>
      <c r="H20" s="83">
        <f>IF($C20=2,$D20,IF($C20="All",ROUND($D20/4,0),0))</f>
        <v>0</v>
      </c>
      <c r="I20" s="83">
        <f>IF($C20=3,$D20,IF($C20="All",ROUND($D20/4,0),0))</f>
        <v>0</v>
      </c>
      <c r="J20" s="154">
        <f>F20-SUM(G20:I20)</f>
        <v>0</v>
      </c>
      <c r="K20" s="5" t="str">
        <f>IF(F20-SUM(G20:J20)=0,"OK","Error!")</f>
        <v>OK</v>
      </c>
    </row>
    <row r="21" spans="1:11" s="23" customFormat="1" ht="15.75">
      <c r="A21" s="123"/>
      <c r="B21" s="131"/>
      <c r="C21" s="101"/>
      <c r="D21" s="85"/>
      <c r="E21" s="83"/>
      <c r="F21" s="83">
        <f>D21</f>
        <v>0</v>
      </c>
      <c r="G21" s="83">
        <f>IF($C21=1,$D21,IF($C21="All",ROUND($D21/4,0),0))</f>
        <v>0</v>
      </c>
      <c r="H21" s="83">
        <f>IF($C21=2,$D21,IF($C21="All",ROUND($D21/4,0),0))</f>
        <v>0</v>
      </c>
      <c r="I21" s="83">
        <f>IF($C21=3,$D21,IF($C21="All",ROUND($D21/4,0),0))</f>
        <v>0</v>
      </c>
      <c r="J21" s="154">
        <f>F21-SUM(G21:I21)</f>
        <v>0</v>
      </c>
      <c r="K21" s="5" t="str">
        <f>IF(F21-SUM(G21:J21)=0,"OK","Error!")</f>
        <v>OK</v>
      </c>
    </row>
    <row r="22" spans="1:11" s="23" customFormat="1" ht="16.5" thickBot="1">
      <c r="A22" s="124"/>
      <c r="B22" s="125" t="s">
        <v>175</v>
      </c>
      <c r="C22" s="222"/>
      <c r="D22" s="127">
        <f>SUM(D18:D21)</f>
        <v>3</v>
      </c>
      <c r="F22" s="6">
        <f>SUM(F18:F21)</f>
        <v>3</v>
      </c>
      <c r="G22" s="6">
        <f>SUM(G18:G21)</f>
        <v>0</v>
      </c>
      <c r="H22" s="6">
        <f>SUM(H18:H21)</f>
        <v>0</v>
      </c>
      <c r="I22" s="6">
        <f>SUM(I18:I21)</f>
        <v>3</v>
      </c>
      <c r="J22" s="6">
        <f>SUM(J18:J21)</f>
        <v>0</v>
      </c>
      <c r="K22" s="5" t="str">
        <f>IF(F22-SUM(G22:J22)=0,"OK","Error!")</f>
        <v>OK</v>
      </c>
    </row>
    <row r="23" spans="1:3" s="23" customFormat="1" ht="16.5" thickBot="1">
      <c r="A23" s="92"/>
      <c r="B23" s="73"/>
      <c r="C23" s="139"/>
    </row>
    <row r="24" spans="1:4" ht="15.75">
      <c r="A24" s="90" t="s">
        <v>117</v>
      </c>
      <c r="B24" s="84"/>
      <c r="C24" s="220"/>
      <c r="D24" s="69"/>
    </row>
    <row r="25" spans="1:11" s="23" customFormat="1" ht="15.75">
      <c r="A25" s="123"/>
      <c r="B25" s="131"/>
      <c r="C25" s="221">
        <v>4</v>
      </c>
      <c r="D25" s="85">
        <v>4</v>
      </c>
      <c r="E25" s="83"/>
      <c r="F25" s="83">
        <f>D25</f>
        <v>4</v>
      </c>
      <c r="G25" s="83">
        <f>IF($C25=1,$D25,IF($C25="All",ROUND($D25/4,0),0))</f>
        <v>0</v>
      </c>
      <c r="H25" s="83">
        <f>IF($C25=2,$D25,IF($C25="All",ROUND($D25/4,0),0))</f>
        <v>0</v>
      </c>
      <c r="I25" s="83">
        <f>IF($C25=3,$D25,IF($C25="All",ROUND($D25/4,0),0))</f>
        <v>0</v>
      </c>
      <c r="J25" s="154">
        <f>F25-SUM(G25:I25)</f>
        <v>4</v>
      </c>
      <c r="K25" s="5" t="str">
        <f>IF(F25-SUM(G25:J25)=0,"OK","Error!")</f>
        <v>OK</v>
      </c>
    </row>
    <row r="26" spans="1:11" s="23" customFormat="1" ht="15.75">
      <c r="A26" s="123"/>
      <c r="B26" s="131"/>
      <c r="C26" s="221"/>
      <c r="D26" s="85"/>
      <c r="E26" s="83"/>
      <c r="F26" s="83">
        <f>D26</f>
        <v>0</v>
      </c>
      <c r="G26" s="83">
        <f>IF($C26=1,$D26,IF($C26="All",ROUND($D26/4,0),0))</f>
        <v>0</v>
      </c>
      <c r="H26" s="83">
        <f>IF($C26=2,$D26,IF($C26="All",ROUND($D26/4,0),0))</f>
        <v>0</v>
      </c>
      <c r="I26" s="83">
        <f>IF($C26=3,$D26,IF($C26="All",ROUND($D26/4,0),0))</f>
        <v>0</v>
      </c>
      <c r="J26" s="154">
        <f>F26-SUM(G26:I26)</f>
        <v>0</v>
      </c>
      <c r="K26" s="5" t="str">
        <f>IF(F26-SUM(G26:J26)=0,"OK","Error!")</f>
        <v>OK</v>
      </c>
    </row>
    <row r="27" spans="1:11" s="23" customFormat="1" ht="15.75">
      <c r="A27" s="123"/>
      <c r="B27" s="131"/>
      <c r="C27" s="221"/>
      <c r="D27" s="85"/>
      <c r="E27" s="83"/>
      <c r="F27" s="83">
        <f>D27</f>
        <v>0</v>
      </c>
      <c r="G27" s="83">
        <f>IF($C27=1,$D27,IF($C27="All",ROUND($D27/4,0),0))</f>
        <v>0</v>
      </c>
      <c r="H27" s="83">
        <f>IF($C27=2,$D27,IF($C27="All",ROUND($D27/4,0),0))</f>
        <v>0</v>
      </c>
      <c r="I27" s="83">
        <f>IF($C27=3,$D27,IF($C27="All",ROUND($D27/4,0),0))</f>
        <v>0</v>
      </c>
      <c r="J27" s="154">
        <f>F27-SUM(G27:I27)</f>
        <v>0</v>
      </c>
      <c r="K27" s="5" t="str">
        <f>IF(F27-SUM(G27:J27)=0,"OK","Error!")</f>
        <v>OK</v>
      </c>
    </row>
    <row r="28" spans="1:11" s="23" customFormat="1" ht="15.75">
      <c r="A28" s="123"/>
      <c r="B28" s="131"/>
      <c r="C28" s="101"/>
      <c r="D28" s="85"/>
      <c r="E28" s="83"/>
      <c r="F28" s="83">
        <f>D28</f>
        <v>0</v>
      </c>
      <c r="G28" s="83">
        <f>IF($C28=1,$D28,IF($C28="All",ROUND($D28/4,0),0))</f>
        <v>0</v>
      </c>
      <c r="H28" s="83">
        <f>IF($C28=2,$D28,IF($C28="All",ROUND($D28/4,0),0))</f>
        <v>0</v>
      </c>
      <c r="I28" s="83">
        <f>IF($C28=3,$D28,IF($C28="All",ROUND($D28/4,0),0))</f>
        <v>0</v>
      </c>
      <c r="J28" s="154">
        <f>F28-SUM(G28:I28)</f>
        <v>0</v>
      </c>
      <c r="K28" s="5" t="str">
        <f>IF(F28-SUM(G28:J28)=0,"OK","Error!")</f>
        <v>OK</v>
      </c>
    </row>
    <row r="29" spans="1:11" s="23" customFormat="1" ht="16.5" thickBot="1">
      <c r="A29" s="124"/>
      <c r="B29" s="125" t="s">
        <v>175</v>
      </c>
      <c r="C29" s="222"/>
      <c r="D29" s="127">
        <f>SUM(D25:D28)</f>
        <v>4</v>
      </c>
      <c r="F29" s="6">
        <f>SUM(F25:F28)</f>
        <v>4</v>
      </c>
      <c r="G29" s="6">
        <f>SUM(G25:G28)</f>
        <v>0</v>
      </c>
      <c r="H29" s="6">
        <f>SUM(H25:H28)</f>
        <v>0</v>
      </c>
      <c r="I29" s="6">
        <f>SUM(I25:I28)</f>
        <v>0</v>
      </c>
      <c r="J29" s="6">
        <f>SUM(J25:J28)</f>
        <v>4</v>
      </c>
      <c r="K29" s="5" t="str">
        <f>IF(F29-SUM(G29:J29)=0,"OK","Error!")</f>
        <v>OK</v>
      </c>
    </row>
    <row r="30" spans="1:3" s="23" customFormat="1" ht="16.5" thickBot="1">
      <c r="A30" s="92"/>
      <c r="B30" s="73"/>
      <c r="C30" s="139"/>
    </row>
    <row r="31" spans="1:4" ht="15.75">
      <c r="A31" s="90" t="s">
        <v>118</v>
      </c>
      <c r="B31" s="84"/>
      <c r="C31" s="220"/>
      <c r="D31" s="69"/>
    </row>
    <row r="32" spans="1:11" s="23" customFormat="1" ht="15.75">
      <c r="A32" s="123"/>
      <c r="B32" s="131"/>
      <c r="C32" s="101" t="s">
        <v>185</v>
      </c>
      <c r="D32" s="85">
        <v>8</v>
      </c>
      <c r="E32" s="83"/>
      <c r="F32" s="83">
        <f>D32</f>
        <v>8</v>
      </c>
      <c r="G32" s="83">
        <f>IF($C32=1,$D32,IF($C32="All",ROUND($D32/4,0),0))</f>
        <v>2</v>
      </c>
      <c r="H32" s="83">
        <f>IF($C32=2,$D32,IF($C32="All",ROUND($D32/4,0),0))</f>
        <v>2</v>
      </c>
      <c r="I32" s="83">
        <f>IF($C32=3,$D32,IF($C32="All",ROUND($D32/4,0),0))</f>
        <v>2</v>
      </c>
      <c r="J32" s="154">
        <f>F32-SUM(G32:I32)</f>
        <v>2</v>
      </c>
      <c r="K32" s="5" t="str">
        <f>IF(F32-SUM(G32:J32)=0,"OK","Error!")</f>
        <v>OK</v>
      </c>
    </row>
    <row r="33" spans="1:11" s="23" customFormat="1" ht="15.75">
      <c r="A33" s="123"/>
      <c r="B33" s="131"/>
      <c r="C33" s="221"/>
      <c r="D33" s="85"/>
      <c r="E33" s="83"/>
      <c r="F33" s="83">
        <f>D33</f>
        <v>0</v>
      </c>
      <c r="G33" s="83">
        <f>IF($C33=1,$D33,IF($C33="All",ROUND($D33/4,0),0))</f>
        <v>0</v>
      </c>
      <c r="H33" s="83">
        <f>IF($C33=2,$D33,IF($C33="All",ROUND($D33/4,0),0))</f>
        <v>0</v>
      </c>
      <c r="I33" s="83">
        <f>IF($C33=3,$D33,IF($C33="All",ROUND($D33/4,0),0))</f>
        <v>0</v>
      </c>
      <c r="J33" s="154">
        <f>F33-SUM(G33:I33)</f>
        <v>0</v>
      </c>
      <c r="K33" s="5" t="str">
        <f>IF(F33-SUM(G33:J33)=0,"OK","Error!")</f>
        <v>OK</v>
      </c>
    </row>
    <row r="34" spans="1:11" s="23" customFormat="1" ht="15.75">
      <c r="A34" s="123"/>
      <c r="B34" s="131"/>
      <c r="C34" s="221"/>
      <c r="D34" s="85"/>
      <c r="E34" s="83"/>
      <c r="F34" s="83">
        <f>D34</f>
        <v>0</v>
      </c>
      <c r="G34" s="83">
        <f>IF($C34=1,$D34,IF($C34="All",ROUND($D34/4,0),0))</f>
        <v>0</v>
      </c>
      <c r="H34" s="83">
        <f>IF($C34=2,$D34,IF($C34="All",ROUND($D34/4,0),0))</f>
        <v>0</v>
      </c>
      <c r="I34" s="83">
        <f>IF($C34=3,$D34,IF($C34="All",ROUND($D34/4,0),0))</f>
        <v>0</v>
      </c>
      <c r="J34" s="154">
        <f>F34-SUM(G34:I34)</f>
        <v>0</v>
      </c>
      <c r="K34" s="5" t="str">
        <f>IF(F34-SUM(G34:J34)=0,"OK","Error!")</f>
        <v>OK</v>
      </c>
    </row>
    <row r="35" spans="1:11" s="23" customFormat="1" ht="15.75">
      <c r="A35" s="123"/>
      <c r="B35" s="131"/>
      <c r="C35" s="101"/>
      <c r="D35" s="85"/>
      <c r="E35" s="83"/>
      <c r="F35" s="83">
        <f>D35</f>
        <v>0</v>
      </c>
      <c r="G35" s="83">
        <f>IF($C35=1,$D35,IF($C35="All",ROUND($D35/4,0),0))</f>
        <v>0</v>
      </c>
      <c r="H35" s="83">
        <f>IF($C35=2,$D35,IF($C35="All",ROUND($D35/4,0),0))</f>
        <v>0</v>
      </c>
      <c r="I35" s="83">
        <f>IF($C35=3,$D35,IF($C35="All",ROUND($D35/4,0),0))</f>
        <v>0</v>
      </c>
      <c r="J35" s="154">
        <f>F35-SUM(G35:I35)</f>
        <v>0</v>
      </c>
      <c r="K35" s="5" t="str">
        <f>IF(F35-SUM(G35:J35)=0,"OK","Error!")</f>
        <v>OK</v>
      </c>
    </row>
    <row r="36" spans="1:11" s="23" customFormat="1" ht="16.5" thickBot="1">
      <c r="A36" s="124"/>
      <c r="B36" s="125" t="s">
        <v>175</v>
      </c>
      <c r="C36" s="222"/>
      <c r="D36" s="127">
        <f>SUM(D32:D35)</f>
        <v>8</v>
      </c>
      <c r="F36" s="6">
        <f>SUM(F32:F35)</f>
        <v>8</v>
      </c>
      <c r="G36" s="6">
        <f>SUM(G32:G35)</f>
        <v>2</v>
      </c>
      <c r="H36" s="6">
        <f>SUM(H32:H35)</f>
        <v>2</v>
      </c>
      <c r="I36" s="6">
        <f>SUM(I32:I35)</f>
        <v>2</v>
      </c>
      <c r="J36" s="6">
        <f>SUM(J32:J35)</f>
        <v>2</v>
      </c>
      <c r="K36" s="5" t="str">
        <f>IF(F36-SUM(G36:J36)=0,"OK","Error!")</f>
        <v>OK</v>
      </c>
    </row>
    <row r="37" spans="1:3" s="23" customFormat="1" ht="16.5" thickBot="1">
      <c r="A37" s="92"/>
      <c r="B37" s="73"/>
      <c r="C37" s="139"/>
    </row>
    <row r="38" spans="1:4" ht="15.75">
      <c r="A38" s="90" t="s">
        <v>203</v>
      </c>
      <c r="B38" s="84"/>
      <c r="C38" s="220"/>
      <c r="D38" s="69"/>
    </row>
    <row r="39" spans="1:11" s="23" customFormat="1" ht="15.75">
      <c r="A39" s="123"/>
      <c r="B39" s="131"/>
      <c r="C39" s="101">
        <v>1</v>
      </c>
      <c r="D39" s="85">
        <v>6</v>
      </c>
      <c r="E39" s="83"/>
      <c r="F39" s="83">
        <f>D39</f>
        <v>6</v>
      </c>
      <c r="G39" s="83">
        <f>IF($C39=1,$D39,IF($C39="All",ROUND($D39/4,0),0))</f>
        <v>6</v>
      </c>
      <c r="H39" s="83">
        <f>IF($C39=2,$D39,IF($C39="All",ROUND($D39/4,0),0))</f>
        <v>0</v>
      </c>
      <c r="I39" s="83">
        <f>IF($C39=3,$D39,IF($C39="All",ROUND($D39/4,0),0))</f>
        <v>0</v>
      </c>
      <c r="J39" s="154">
        <f>F39-SUM(G39:I39)</f>
        <v>0</v>
      </c>
      <c r="K39" s="5" t="str">
        <f>IF(F39-SUM(G39:J39)=0,"OK","Error!")</f>
        <v>OK</v>
      </c>
    </row>
    <row r="40" spans="1:11" s="23" customFormat="1" ht="15.75">
      <c r="A40" s="123"/>
      <c r="B40" s="131"/>
      <c r="C40" s="221"/>
      <c r="D40" s="85"/>
      <c r="E40" s="83"/>
      <c r="F40" s="83">
        <f>D40</f>
        <v>0</v>
      </c>
      <c r="G40" s="83">
        <f>IF($C40=1,$D40,IF($C40="All",ROUND($D40/4,0),0))</f>
        <v>0</v>
      </c>
      <c r="H40" s="83">
        <f>IF($C40=2,$D40,IF($C40="All",ROUND($D40/4,0),0))</f>
        <v>0</v>
      </c>
      <c r="I40" s="83">
        <f>IF($C40=3,$D40,IF($C40="All",ROUND($D40/4,0),0))</f>
        <v>0</v>
      </c>
      <c r="J40" s="154">
        <f>F40-SUM(G40:I40)</f>
        <v>0</v>
      </c>
      <c r="K40" s="5" t="str">
        <f>IF(F40-SUM(G40:J40)=0,"OK","Error!")</f>
        <v>OK</v>
      </c>
    </row>
    <row r="41" spans="1:11" s="23" customFormat="1" ht="15.75">
      <c r="A41" s="123"/>
      <c r="B41" s="131"/>
      <c r="C41" s="221"/>
      <c r="D41" s="85"/>
      <c r="E41" s="83"/>
      <c r="F41" s="83">
        <f>D41</f>
        <v>0</v>
      </c>
      <c r="G41" s="83">
        <f>IF($C41=1,$D41,IF($C41="All",ROUND($D41/4,0),0))</f>
        <v>0</v>
      </c>
      <c r="H41" s="83">
        <f>IF($C41=2,$D41,IF($C41="All",ROUND($D41/4,0),0))</f>
        <v>0</v>
      </c>
      <c r="I41" s="83">
        <f>IF($C41=3,$D41,IF($C41="All",ROUND($D41/4,0),0))</f>
        <v>0</v>
      </c>
      <c r="J41" s="154">
        <f>F41-SUM(G41:I41)</f>
        <v>0</v>
      </c>
      <c r="K41" s="5" t="str">
        <f>IF(F41-SUM(G41:J41)=0,"OK","Error!")</f>
        <v>OK</v>
      </c>
    </row>
    <row r="42" spans="1:11" s="23" customFormat="1" ht="15.75">
      <c r="A42" s="123"/>
      <c r="B42" s="131"/>
      <c r="C42" s="101"/>
      <c r="D42" s="85"/>
      <c r="E42" s="83"/>
      <c r="F42" s="83">
        <f>D42</f>
        <v>0</v>
      </c>
      <c r="G42" s="83">
        <f>IF($C42=1,$D42,IF($C42="All",ROUND($D42/4,0),0))</f>
        <v>0</v>
      </c>
      <c r="H42" s="83">
        <f>IF($C42=2,$D42,IF($C42="All",ROUND($D42/4,0),0))</f>
        <v>0</v>
      </c>
      <c r="I42" s="83">
        <f>IF($C42=3,$D42,IF($C42="All",ROUND($D42/4,0),0))</f>
        <v>0</v>
      </c>
      <c r="J42" s="154">
        <f>F42-SUM(G42:I42)</f>
        <v>0</v>
      </c>
      <c r="K42" s="5" t="str">
        <f>IF(F42-SUM(G42:J42)=0,"OK","Error!")</f>
        <v>OK</v>
      </c>
    </row>
    <row r="43" spans="1:11" s="23" customFormat="1" ht="16.5" thickBot="1">
      <c r="A43" s="124"/>
      <c r="B43" s="125" t="s">
        <v>175</v>
      </c>
      <c r="C43" s="222"/>
      <c r="D43" s="127">
        <f>SUM(D39:D42)</f>
        <v>6</v>
      </c>
      <c r="F43" s="6">
        <f>SUM(F39:F42)</f>
        <v>6</v>
      </c>
      <c r="G43" s="6">
        <f>SUM(G39:G42)</f>
        <v>6</v>
      </c>
      <c r="H43" s="6">
        <f>SUM(H39:H42)</f>
        <v>0</v>
      </c>
      <c r="I43" s="6">
        <f>SUM(I39:I42)</f>
        <v>0</v>
      </c>
      <c r="J43" s="6">
        <f>SUM(J39:J42)</f>
        <v>0</v>
      </c>
      <c r="K43" s="5" t="str">
        <f>IF(F43-SUM(G43:J43)=0,"OK","Error!")</f>
        <v>OK</v>
      </c>
    </row>
    <row r="44" spans="1:3" s="23" customFormat="1" ht="16.5" thickBot="1">
      <c r="A44" s="92"/>
      <c r="B44" s="73"/>
      <c r="C44" s="139"/>
    </row>
    <row r="45" spans="1:4" ht="16.5" thickBot="1">
      <c r="A45" s="128" t="s">
        <v>202</v>
      </c>
      <c r="B45" s="129"/>
      <c r="C45" s="224"/>
      <c r="D45" s="130"/>
    </row>
    <row r="46" spans="1:3" s="23" customFormat="1" ht="16.5" thickBot="1">
      <c r="A46" s="92"/>
      <c r="B46" s="73"/>
      <c r="C46" s="139"/>
    </row>
    <row r="47" spans="1:4" ht="15.75">
      <c r="A47" s="90" t="s">
        <v>120</v>
      </c>
      <c r="B47" s="84"/>
      <c r="C47" s="220"/>
      <c r="D47" s="69"/>
    </row>
    <row r="48" spans="1:11" s="23" customFormat="1" ht="15.75">
      <c r="A48" s="123"/>
      <c r="B48" s="131"/>
      <c r="C48" s="221" t="s">
        <v>185</v>
      </c>
      <c r="D48" s="85">
        <v>7</v>
      </c>
      <c r="E48" s="83"/>
      <c r="F48" s="83">
        <f>D48</f>
        <v>7</v>
      </c>
      <c r="G48" s="83">
        <f>IF($C48=1,$D48,IF($C48="All",ROUND($D48/4,0),0))</f>
        <v>2</v>
      </c>
      <c r="H48" s="83">
        <f>IF($C48=2,$D48,IF($C48="All",ROUND($D48/4,0),0))</f>
        <v>2</v>
      </c>
      <c r="I48" s="83">
        <f>IF($C48=3,$D48,IF($C48="All",ROUND($D48/4,0),0))</f>
        <v>2</v>
      </c>
      <c r="J48" s="154">
        <f>F48-SUM(G48:I48)</f>
        <v>1</v>
      </c>
      <c r="K48" s="5" t="str">
        <f>IF(F48-SUM(G48:J48)=0,"OK","Error!")</f>
        <v>OK</v>
      </c>
    </row>
    <row r="49" spans="1:11" s="23" customFormat="1" ht="15.75">
      <c r="A49" s="123"/>
      <c r="B49" s="131"/>
      <c r="C49" s="221"/>
      <c r="D49" s="85"/>
      <c r="E49" s="83"/>
      <c r="F49" s="83">
        <f>D49</f>
        <v>0</v>
      </c>
      <c r="G49" s="83">
        <f>IF($C49=1,$D49,IF($C49="All",ROUND($D49/4,0),0))</f>
        <v>0</v>
      </c>
      <c r="H49" s="83">
        <f>IF($C49=2,$D49,IF($C49="All",ROUND($D49/4,0),0))</f>
        <v>0</v>
      </c>
      <c r="I49" s="83">
        <f>IF($C49=3,$D49,IF($C49="All",ROUND($D49/4,0),0))</f>
        <v>0</v>
      </c>
      <c r="J49" s="154">
        <f>F49-SUM(G49:I49)</f>
        <v>0</v>
      </c>
      <c r="K49" s="5" t="str">
        <f>IF(F49-SUM(G49:J49)=0,"OK","Error!")</f>
        <v>OK</v>
      </c>
    </row>
    <row r="50" spans="1:11" s="23" customFormat="1" ht="15.75">
      <c r="A50" s="123"/>
      <c r="B50" s="131"/>
      <c r="C50" s="221"/>
      <c r="D50" s="85"/>
      <c r="E50" s="83"/>
      <c r="F50" s="83">
        <f>D50</f>
        <v>0</v>
      </c>
      <c r="G50" s="83">
        <f>IF($C50=1,$D50,IF($C50="All",ROUND($D50/4,0),0))</f>
        <v>0</v>
      </c>
      <c r="H50" s="83">
        <f>IF($C50=2,$D50,IF($C50="All",ROUND($D50/4,0),0))</f>
        <v>0</v>
      </c>
      <c r="I50" s="83">
        <f>IF($C50=3,$D50,IF($C50="All",ROUND($D50/4,0),0))</f>
        <v>0</v>
      </c>
      <c r="J50" s="154">
        <f>F50-SUM(G50:I50)</f>
        <v>0</v>
      </c>
      <c r="K50" s="5" t="str">
        <f>IF(F50-SUM(G50:J50)=0,"OK","Error!")</f>
        <v>OK</v>
      </c>
    </row>
    <row r="51" spans="1:11" s="23" customFormat="1" ht="15.75">
      <c r="A51" s="123"/>
      <c r="B51" s="131"/>
      <c r="C51" s="101"/>
      <c r="D51" s="85"/>
      <c r="E51" s="83"/>
      <c r="F51" s="83">
        <f>D51</f>
        <v>0</v>
      </c>
      <c r="G51" s="83">
        <f>IF($C51=1,$D51,IF($C51="All",ROUND($D51/4,0),0))</f>
        <v>0</v>
      </c>
      <c r="H51" s="83">
        <f>IF($C51=2,$D51,IF($C51="All",ROUND($D51/4,0),0))</f>
        <v>0</v>
      </c>
      <c r="I51" s="83">
        <f>IF($C51=3,$D51,IF($C51="All",ROUND($D51/4,0),0))</f>
        <v>0</v>
      </c>
      <c r="J51" s="154">
        <f>F51-SUM(G51:I51)</f>
        <v>0</v>
      </c>
      <c r="K51" s="5" t="str">
        <f>IF(F51-SUM(G51:J51)=0,"OK","Error!")</f>
        <v>OK</v>
      </c>
    </row>
    <row r="52" spans="1:11" s="23" customFormat="1" ht="16.5" thickBot="1">
      <c r="A52" s="124"/>
      <c r="B52" s="125" t="s">
        <v>175</v>
      </c>
      <c r="C52" s="222"/>
      <c r="D52" s="127">
        <f>SUM(D48:D51)</f>
        <v>7</v>
      </c>
      <c r="F52" s="6">
        <f>SUM(F48:F51)</f>
        <v>7</v>
      </c>
      <c r="G52" s="6">
        <f>SUM(G48:G51)</f>
        <v>2</v>
      </c>
      <c r="H52" s="6">
        <f>SUM(H48:H51)</f>
        <v>2</v>
      </c>
      <c r="I52" s="6">
        <f>SUM(I48:I51)</f>
        <v>2</v>
      </c>
      <c r="J52" s="6">
        <f>SUM(J48:J51)</f>
        <v>1</v>
      </c>
      <c r="K52" s="5" t="str">
        <f>IF(F52-SUM(G52:J52)=0,"OK","Error!")</f>
        <v>OK</v>
      </c>
    </row>
    <row r="53" spans="1:3" s="23" customFormat="1" ht="15.75">
      <c r="A53" s="92"/>
      <c r="B53" s="73"/>
      <c r="C53" s="78"/>
    </row>
    <row r="54" spans="1:11" ht="15.75">
      <c r="A54" s="92" t="s">
        <v>121</v>
      </c>
      <c r="B54" s="73"/>
      <c r="C54" s="78"/>
      <c r="D54">
        <f>D8+D15+D22+D29+D36+D43+D52</f>
        <v>31</v>
      </c>
      <c r="F54" s="5">
        <f>+F8+F15+F22+F29+F36+F43+F45+F52</f>
        <v>31</v>
      </c>
      <c r="G54" s="5">
        <f>+G8+G15+G22+G29+G36+G43+G45+G52</f>
        <v>11</v>
      </c>
      <c r="H54" s="5">
        <f>+H8+H15+H22+H29+H36+H43+H45+H52</f>
        <v>6</v>
      </c>
      <c r="I54" s="5">
        <f>+I8+I15+I22+I29+I36+I43+I45+I52</f>
        <v>7</v>
      </c>
      <c r="J54" s="5">
        <f>+J8+J15+J22+J29+J36+J43+J45+J52</f>
        <v>7</v>
      </c>
      <c r="K54" s="5" t="str">
        <f>IF(F54-SUM(G54:J54)=0,"OK","Error!")</f>
        <v>OK</v>
      </c>
    </row>
    <row r="55" spans="1:2" ht="15.75">
      <c r="A55" s="122"/>
      <c r="B55" s="57"/>
    </row>
  </sheetData>
  <sheetProtection/>
  <dataValidations count="1">
    <dataValidation type="list" allowBlank="1" showInputMessage="1" showErrorMessage="1" sqref="C32:C35 C39:C42 C4:C7 C11:C14 C18:C21 C25:C28 C48:C51">
      <formula1>$O$4:$O$8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G10" sqref="G10"/>
    </sheetView>
  </sheetViews>
  <sheetFormatPr defaultColWidth="8.88671875" defaultRowHeight="15.75"/>
  <cols>
    <col min="1" max="1" width="16.4453125" style="78" customWidth="1"/>
    <col min="2" max="3" width="12.77734375" style="78" customWidth="1"/>
    <col min="4" max="4" width="11.10546875" style="78" customWidth="1"/>
    <col min="5" max="16384" width="8.88671875" style="78" customWidth="1"/>
  </cols>
  <sheetData>
    <row r="1" ht="15.75">
      <c r="A1" s="91" t="s">
        <v>348</v>
      </c>
    </row>
    <row r="2" spans="2:13" ht="16.5" thickBot="1">
      <c r="B2" s="144" t="s">
        <v>209</v>
      </c>
      <c r="C2" s="144" t="s">
        <v>218</v>
      </c>
      <c r="D2" s="144" t="s">
        <v>72</v>
      </c>
      <c r="E2" s="139" t="s">
        <v>59</v>
      </c>
      <c r="M2" s="142" t="s">
        <v>206</v>
      </c>
    </row>
    <row r="3" spans="1:13" ht="15.75">
      <c r="A3" s="78" t="s">
        <v>172</v>
      </c>
      <c r="B3" s="136">
        <f>ROUND('Bud-A&amp;B Pers Exp'!AJ7+'Bud-A&amp;B Pers Exp'!AK7,2)</f>
        <v>48962.94</v>
      </c>
      <c r="C3" s="155">
        <f>ROUND('Bud-A&amp;B Pers Exp'!AM7+'Bud-A&amp;B Pers Exp'!AL7,2)</f>
        <v>48962.94</v>
      </c>
      <c r="D3" s="136">
        <f>ROUND(+B3+C3,2)</f>
        <v>97925.88</v>
      </c>
      <c r="E3" s="139" t="str">
        <f>IF('Bud-A&amp;B Pers Exp'!AI7=D3,"OK","ERROR!")</f>
        <v>OK</v>
      </c>
      <c r="M3" s="142" t="s">
        <v>207</v>
      </c>
    </row>
    <row r="4" spans="1:5" ht="15.75">
      <c r="A4" s="78" t="s">
        <v>211</v>
      </c>
      <c r="B4" s="155">
        <f>ROUND('Bud-A&amp;B Pers Exp'!AJ8+'Bud-A&amp;B Pers Exp'!AK8,2)</f>
        <v>15207</v>
      </c>
      <c r="C4" s="155">
        <f>ROUND('Bud-A&amp;B Pers Exp'!AM8+'Bud-A&amp;B Pers Exp'!AL8,2)</f>
        <v>15207</v>
      </c>
      <c r="D4" s="136">
        <f aca="true" t="shared" si="0" ref="D4:D10">+B4+C4</f>
        <v>30414</v>
      </c>
      <c r="E4" s="139" t="str">
        <f>IF('Bud-A&amp;B Pers Exp'!AI8=D4,"OK","ERROR!")</f>
        <v>OK</v>
      </c>
    </row>
    <row r="5" spans="1:5" ht="15.75">
      <c r="A5" s="78" t="s">
        <v>212</v>
      </c>
      <c r="B5" s="136">
        <f>'Bud C Trav Exp'!T23+'Bud C Trav Exp'!U23</f>
        <v>830</v>
      </c>
      <c r="C5" s="136">
        <f>'Bud C Trav Exp'!V23+'Bud C Trav Exp'!W23</f>
        <v>1927</v>
      </c>
      <c r="D5" s="140">
        <f t="shared" si="0"/>
        <v>2757</v>
      </c>
      <c r="E5" s="138" t="str">
        <f>IF(D5-'Bud C Trav Exp'!S23=0,"OK","Error!")</f>
        <v>OK</v>
      </c>
    </row>
    <row r="6" spans="1:5" ht="15.75">
      <c r="A6" s="78" t="s">
        <v>181</v>
      </c>
      <c r="B6" s="136">
        <f>+'Bud D - H Other Exp'!K11+'Bud D - H Other Exp'!L11</f>
        <v>2000</v>
      </c>
      <c r="C6" s="136">
        <f>+'Bud D - H Other Exp'!M11+'Bud D - H Other Exp'!N11</f>
        <v>0</v>
      </c>
      <c r="D6" s="140">
        <f t="shared" si="0"/>
        <v>2000</v>
      </c>
      <c r="E6" s="139" t="str">
        <f>IF(D6='Bud D - H Other Exp'!J11,"OK","Error!")</f>
        <v>OK</v>
      </c>
    </row>
    <row r="7" spans="1:5" ht="15.75">
      <c r="A7" s="78" t="s">
        <v>182</v>
      </c>
      <c r="B7" s="136">
        <f>+'Bud D - H Other Exp'!K22+'Bud D - H Other Exp'!L22</f>
        <v>2790</v>
      </c>
      <c r="C7" s="136">
        <f>+'Bud D - H Other Exp'!N22+'Bud D - H Other Exp'!M22</f>
        <v>990</v>
      </c>
      <c r="D7" s="140">
        <f t="shared" si="0"/>
        <v>3780</v>
      </c>
      <c r="E7" s="139" t="str">
        <f>IF(D7='Bud D - H Other Exp'!J22,"OK","Error!")</f>
        <v>OK</v>
      </c>
    </row>
    <row r="8" spans="1:5" ht="15.75">
      <c r="A8" s="78" t="s">
        <v>217</v>
      </c>
      <c r="B8" s="136">
        <f>+'Bud D - H Other Exp'!K33+'Bud D - H Other Exp'!L33</f>
        <v>100</v>
      </c>
      <c r="C8" s="136">
        <f>+'Bud D - H Other Exp'!N33+'Bud D - H Other Exp'!M33</f>
        <v>0</v>
      </c>
      <c r="D8" s="140">
        <f t="shared" si="0"/>
        <v>100</v>
      </c>
      <c r="E8" s="139" t="str">
        <f>IF(D8='Bud D - H Other Exp'!J33,"OK","Error!")</f>
        <v>OK</v>
      </c>
    </row>
    <row r="9" spans="1:5" ht="15.75">
      <c r="A9" s="78" t="s">
        <v>184</v>
      </c>
      <c r="B9" s="136">
        <v>0</v>
      </c>
      <c r="C9" s="136">
        <v>0</v>
      </c>
      <c r="D9" s="140">
        <f t="shared" si="0"/>
        <v>0</v>
      </c>
      <c r="E9" s="139" t="str">
        <f>IF(D9='Bud D - H Other Exp'!J34,"OK","Error!")</f>
        <v>OK</v>
      </c>
    </row>
    <row r="10" spans="1:5" ht="15.75">
      <c r="A10" s="78" t="s">
        <v>12</v>
      </c>
      <c r="B10" s="136">
        <f>+'Bud D - H Other Exp'!K46+'Bud D - H Other Exp'!L46</f>
        <v>1402</v>
      </c>
      <c r="C10" s="136">
        <f>+'Bud D - H Other Exp'!N46+'Bud D - H Other Exp'!M46</f>
        <v>1402</v>
      </c>
      <c r="D10" s="140">
        <f t="shared" si="0"/>
        <v>2804</v>
      </c>
      <c r="E10" s="139" t="str">
        <f>IF(D10='Bud D - H Other Exp'!J46,"OK","Error!")</f>
        <v>OK</v>
      </c>
    </row>
    <row r="11" spans="1:4" ht="16.5" thickBot="1">
      <c r="A11" s="78" t="s">
        <v>208</v>
      </c>
      <c r="B11" s="133">
        <f>SUM(B3:B10)</f>
        <v>71291.94</v>
      </c>
      <c r="C11" s="133">
        <f>SUM(C3:C10)</f>
        <v>68488.94</v>
      </c>
      <c r="D11" s="133">
        <f>SUM(D3:D10)</f>
        <v>139780.88</v>
      </c>
    </row>
    <row r="12" spans="2:4" ht="15.75">
      <c r="B12" s="136"/>
      <c r="C12" s="136"/>
      <c r="D12" s="136"/>
    </row>
    <row r="13" spans="1:4" ht="16.5" thickBot="1">
      <c r="A13" s="91" t="s">
        <v>220</v>
      </c>
      <c r="B13" s="136"/>
      <c r="C13" s="136"/>
      <c r="D13" s="136"/>
    </row>
    <row r="14" spans="1:4" ht="16.5" thickBot="1">
      <c r="A14" s="78" t="s">
        <v>216</v>
      </c>
      <c r="B14" s="145" t="s">
        <v>206</v>
      </c>
      <c r="C14" s="138" t="str">
        <f>B14</f>
        <v>All less Equip.</v>
      </c>
      <c r="D14" s="138" t="s">
        <v>180</v>
      </c>
    </row>
    <row r="15" spans="1:4" ht="16.5" thickBot="1">
      <c r="A15" s="23" t="s">
        <v>219</v>
      </c>
      <c r="B15" s="136">
        <f>IF(B14=B14,B11-B6,B3+B4)</f>
        <v>69291.94</v>
      </c>
      <c r="C15" s="136">
        <f>IF(C14=C14,C11-C6,C3+C4)</f>
        <v>68488.94</v>
      </c>
      <c r="D15" s="136">
        <f>+B15+C15</f>
        <v>137780.88</v>
      </c>
    </row>
    <row r="16" spans="1:4" ht="16.5" thickBot="1">
      <c r="A16" s="78" t="s">
        <v>214</v>
      </c>
      <c r="B16" s="146">
        <v>0.348</v>
      </c>
      <c r="C16" s="143">
        <f>+B16</f>
        <v>0.348</v>
      </c>
      <c r="D16" s="136"/>
    </row>
    <row r="17" spans="1:5" ht="16.5" thickBot="1">
      <c r="A17" s="78" t="s">
        <v>215</v>
      </c>
      <c r="B17" s="147">
        <f>+B16*B15</f>
        <v>24113.595119999998</v>
      </c>
      <c r="C17" s="137">
        <f>+C16*C15</f>
        <v>23834.15112</v>
      </c>
      <c r="D17" s="137">
        <f>+B17+C17</f>
        <v>47947.74623999999</v>
      </c>
      <c r="E17" s="140"/>
    </row>
    <row r="18" spans="1:4" ht="15.75">
      <c r="A18" s="78" t="s">
        <v>213</v>
      </c>
      <c r="B18" s="180">
        <f>'Bud D - H Other Exp'!K50</f>
        <v>6500</v>
      </c>
      <c r="C18" s="180">
        <f>'Bud D - H Other Exp'!M50</f>
        <v>6500</v>
      </c>
      <c r="D18" s="132">
        <f>+B18+C18</f>
        <v>13000</v>
      </c>
    </row>
    <row r="19" spans="1:4" ht="16.5" thickBot="1">
      <c r="A19" s="78" t="s">
        <v>210</v>
      </c>
      <c r="B19" s="137">
        <f>+B17-B18</f>
        <v>17613.595119999998</v>
      </c>
      <c r="C19" s="137">
        <f>+C17-C18</f>
        <v>17334.15112</v>
      </c>
      <c r="D19" s="137">
        <f>+B19+C19</f>
        <v>34947.74623999999</v>
      </c>
    </row>
    <row r="20" spans="2:4" ht="15.75">
      <c r="B20" s="136"/>
      <c r="C20" s="136"/>
      <c r="D20" s="136"/>
    </row>
  </sheetData>
  <sheetProtection/>
  <dataValidations count="1">
    <dataValidation type="list" allowBlank="1" showInputMessage="1" showErrorMessage="1" sqref="C16:D16 B14">
      <formula1>$M$2:$M$3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4">
      <selection activeCell="C34" sqref="C34"/>
    </sheetView>
  </sheetViews>
  <sheetFormatPr defaultColWidth="8.88671875" defaultRowHeight="15.75"/>
  <cols>
    <col min="1" max="1" width="30.3359375" style="161" bestFit="1" customWidth="1"/>
    <col min="2" max="2" width="6.10546875" style="161" customWidth="1"/>
    <col min="3" max="8" width="7.21484375" style="141" customWidth="1"/>
    <col min="9" max="11" width="8.88671875" style="141" customWidth="1"/>
    <col min="12" max="12" width="7.21484375" style="141" customWidth="1"/>
    <col min="13" max="16384" width="8.88671875" style="141" customWidth="1"/>
  </cols>
  <sheetData>
    <row r="1" spans="1:14" s="160" customFormat="1" ht="39" thickBot="1">
      <c r="A1" s="158" t="s">
        <v>282</v>
      </c>
      <c r="B1" s="175" t="s">
        <v>290</v>
      </c>
      <c r="C1" s="176" t="s">
        <v>35</v>
      </c>
      <c r="D1" s="176" t="s">
        <v>36</v>
      </c>
      <c r="E1" s="176" t="s">
        <v>37</v>
      </c>
      <c r="F1" s="176" t="s">
        <v>38</v>
      </c>
      <c r="G1" s="176" t="s">
        <v>72</v>
      </c>
      <c r="H1" s="176" t="s">
        <v>291</v>
      </c>
      <c r="I1" s="176" t="s">
        <v>294</v>
      </c>
      <c r="J1" s="176" t="s">
        <v>222</v>
      </c>
      <c r="K1" s="176" t="s">
        <v>223</v>
      </c>
      <c r="L1" s="176" t="s">
        <v>295</v>
      </c>
      <c r="M1" s="176" t="s">
        <v>224</v>
      </c>
      <c r="N1" s="176" t="s">
        <v>72</v>
      </c>
    </row>
    <row r="2" spans="1:2" s="160" customFormat="1" ht="12.75">
      <c r="A2" s="158" t="s">
        <v>293</v>
      </c>
      <c r="B2" s="163"/>
    </row>
    <row r="3" spans="1:14" s="160" customFormat="1" ht="12.75">
      <c r="A3" s="158"/>
      <c r="B3" s="163"/>
      <c r="I3" s="164"/>
      <c r="J3" s="164"/>
      <c r="K3" s="164"/>
      <c r="L3" s="164"/>
      <c r="M3" s="171">
        <v>1000</v>
      </c>
      <c r="N3" s="164">
        <f>SUM(J3:M3)</f>
        <v>1000</v>
      </c>
    </row>
    <row r="4" spans="1:14" s="160" customFormat="1" ht="12.75">
      <c r="A4" s="158"/>
      <c r="B4" s="163"/>
      <c r="I4" s="164"/>
      <c r="J4" s="164"/>
      <c r="K4" s="164"/>
      <c r="L4" s="164"/>
      <c r="M4" s="171"/>
      <c r="N4" s="164">
        <f aca="true" t="shared" si="0" ref="N4:N65">SUM(J4:M4)</f>
        <v>0</v>
      </c>
    </row>
    <row r="5" spans="1:14" s="160" customFormat="1" ht="12.75">
      <c r="A5" s="158"/>
      <c r="B5" s="163"/>
      <c r="I5" s="164"/>
      <c r="J5" s="164"/>
      <c r="K5" s="164"/>
      <c r="L5" s="164"/>
      <c r="M5" s="171"/>
      <c r="N5" s="164">
        <f t="shared" si="0"/>
        <v>0</v>
      </c>
    </row>
    <row r="6" spans="1:14" s="160" customFormat="1" ht="12.75">
      <c r="A6" s="158" t="s">
        <v>292</v>
      </c>
      <c r="B6" s="163"/>
      <c r="I6" s="164"/>
      <c r="J6" s="164"/>
      <c r="K6" s="164"/>
      <c r="L6" s="164"/>
      <c r="M6" s="164"/>
      <c r="N6" s="164"/>
    </row>
    <row r="7" spans="1:14" s="160" customFormat="1" ht="12.75">
      <c r="A7" s="159" t="s">
        <v>284</v>
      </c>
      <c r="B7" s="159"/>
      <c r="C7" s="167"/>
      <c r="D7" s="167"/>
      <c r="E7" s="167"/>
      <c r="F7" s="167"/>
      <c r="G7" s="160">
        <f>SUM(C7:F7)</f>
        <v>0</v>
      </c>
      <c r="I7" s="171"/>
      <c r="J7" s="164"/>
      <c r="K7" s="164"/>
      <c r="L7" s="173"/>
      <c r="M7" s="172">
        <f>+I7*G7</f>
        <v>0</v>
      </c>
      <c r="N7" s="164">
        <f t="shared" si="0"/>
        <v>0</v>
      </c>
    </row>
    <row r="8" spans="1:14" ht="12.75">
      <c r="A8" s="159" t="s">
        <v>249</v>
      </c>
      <c r="B8" s="159"/>
      <c r="C8" s="168"/>
      <c r="D8" s="168"/>
      <c r="E8" s="168"/>
      <c r="F8" s="168"/>
      <c r="G8" s="160">
        <f>SUM(C8:F8)</f>
        <v>0</v>
      </c>
      <c r="H8" s="160"/>
      <c r="I8" s="172"/>
      <c r="J8" s="165"/>
      <c r="K8" s="165"/>
      <c r="L8" s="174"/>
      <c r="M8" s="172">
        <f>+I8*G8</f>
        <v>0</v>
      </c>
      <c r="N8" s="164">
        <f t="shared" si="0"/>
        <v>0</v>
      </c>
    </row>
    <row r="9" spans="1:14" s="160" customFormat="1" ht="12.75">
      <c r="A9" s="158"/>
      <c r="B9" s="163"/>
      <c r="C9" s="167"/>
      <c r="D9" s="167"/>
      <c r="E9" s="167"/>
      <c r="F9" s="167"/>
      <c r="G9" s="160">
        <f>SUM(C9:F9)</f>
        <v>0</v>
      </c>
      <c r="I9" s="171"/>
      <c r="J9" s="164"/>
      <c r="K9" s="164"/>
      <c r="L9" s="173"/>
      <c r="M9" s="171"/>
      <c r="N9" s="164">
        <f t="shared" si="0"/>
        <v>0</v>
      </c>
    </row>
    <row r="10" spans="1:14" s="160" customFormat="1" ht="12.75">
      <c r="A10" s="158"/>
      <c r="B10" s="163"/>
      <c r="C10" s="167"/>
      <c r="D10" s="167"/>
      <c r="E10" s="167"/>
      <c r="F10" s="167"/>
      <c r="G10" s="160">
        <f>SUM(C10:F10)</f>
        <v>0</v>
      </c>
      <c r="I10" s="171"/>
      <c r="J10" s="164"/>
      <c r="K10" s="164"/>
      <c r="L10" s="173"/>
      <c r="M10" s="171"/>
      <c r="N10" s="164">
        <f t="shared" si="0"/>
        <v>0</v>
      </c>
    </row>
    <row r="11" spans="1:14" s="160" customFormat="1" ht="12.75">
      <c r="A11" s="158"/>
      <c r="B11" s="163"/>
      <c r="C11" s="167"/>
      <c r="D11" s="167"/>
      <c r="E11" s="167"/>
      <c r="F11" s="167"/>
      <c r="G11" s="160">
        <f>SUM(C11:F11)</f>
        <v>0</v>
      </c>
      <c r="I11" s="171"/>
      <c r="J11" s="164"/>
      <c r="K11" s="164"/>
      <c r="L11" s="173"/>
      <c r="M11" s="171"/>
      <c r="N11" s="164">
        <f t="shared" si="0"/>
        <v>0</v>
      </c>
    </row>
    <row r="12" spans="1:14" s="160" customFormat="1" ht="12.75">
      <c r="A12" s="158" t="s">
        <v>283</v>
      </c>
      <c r="B12" s="158"/>
      <c r="I12" s="164"/>
      <c r="J12" s="164"/>
      <c r="K12" s="164"/>
      <c r="L12" s="164"/>
      <c r="M12" s="164"/>
      <c r="N12" s="164"/>
    </row>
    <row r="13" spans="1:14" s="160" customFormat="1" ht="12.75">
      <c r="A13" s="159" t="s">
        <v>285</v>
      </c>
      <c r="B13" s="297"/>
      <c r="C13" s="167"/>
      <c r="D13" s="167"/>
      <c r="E13" s="167"/>
      <c r="F13" s="167"/>
      <c r="G13" s="160">
        <f>SUM(C13:F13)</f>
        <v>0</v>
      </c>
      <c r="H13" s="297"/>
      <c r="I13" s="171"/>
      <c r="J13" s="165">
        <f aca="true" t="shared" si="1" ref="J13:J19">+I13*G13</f>
        <v>0</v>
      </c>
      <c r="K13" s="164"/>
      <c r="L13" s="171"/>
      <c r="M13" s="164"/>
      <c r="N13" s="164">
        <f t="shared" si="0"/>
        <v>0</v>
      </c>
    </row>
    <row r="14" spans="1:14" ht="12.75">
      <c r="A14" s="159" t="s">
        <v>225</v>
      </c>
      <c r="B14" s="297"/>
      <c r="C14" s="168"/>
      <c r="D14" s="168"/>
      <c r="E14" s="168"/>
      <c r="F14" s="168"/>
      <c r="G14" s="160">
        <f aca="true" t="shared" si="2" ref="G14:G75">SUM(C14:F14)</f>
        <v>0</v>
      </c>
      <c r="H14" s="297"/>
      <c r="I14" s="172"/>
      <c r="J14" s="165">
        <f t="shared" si="1"/>
        <v>0</v>
      </c>
      <c r="K14" s="165"/>
      <c r="L14" s="172"/>
      <c r="M14" s="165"/>
      <c r="N14" s="164">
        <f t="shared" si="0"/>
        <v>0</v>
      </c>
    </row>
    <row r="15" spans="1:14" ht="12.75">
      <c r="A15" s="159" t="s">
        <v>226</v>
      </c>
      <c r="B15" s="297"/>
      <c r="C15" s="168"/>
      <c r="D15" s="168"/>
      <c r="E15" s="168"/>
      <c r="F15" s="168"/>
      <c r="G15" s="160">
        <f t="shared" si="2"/>
        <v>0</v>
      </c>
      <c r="H15" s="297"/>
      <c r="I15" s="172"/>
      <c r="J15" s="165">
        <f t="shared" si="1"/>
        <v>0</v>
      </c>
      <c r="K15" s="165"/>
      <c r="L15" s="172"/>
      <c r="M15" s="165"/>
      <c r="N15" s="164">
        <f t="shared" si="0"/>
        <v>0</v>
      </c>
    </row>
    <row r="16" spans="1:14" ht="12.75">
      <c r="A16" s="159" t="s">
        <v>227</v>
      </c>
      <c r="B16" s="297"/>
      <c r="C16" s="168"/>
      <c r="D16" s="168"/>
      <c r="E16" s="168"/>
      <c r="F16" s="168"/>
      <c r="G16" s="160">
        <f t="shared" si="2"/>
        <v>0</v>
      </c>
      <c r="H16" s="297"/>
      <c r="I16" s="172"/>
      <c r="J16" s="165">
        <f t="shared" si="1"/>
        <v>0</v>
      </c>
      <c r="K16" s="165"/>
      <c r="L16" s="172"/>
      <c r="M16" s="165"/>
      <c r="N16" s="164">
        <f t="shared" si="0"/>
        <v>0</v>
      </c>
    </row>
    <row r="17" spans="1:14" ht="12.75">
      <c r="A17" s="159" t="s">
        <v>228</v>
      </c>
      <c r="B17" s="297"/>
      <c r="C17" s="168"/>
      <c r="D17" s="168"/>
      <c r="E17" s="168"/>
      <c r="F17" s="168"/>
      <c r="G17" s="160">
        <f t="shared" si="2"/>
        <v>0</v>
      </c>
      <c r="H17" s="297"/>
      <c r="I17" s="172"/>
      <c r="J17" s="165">
        <f t="shared" si="1"/>
        <v>0</v>
      </c>
      <c r="K17" s="165"/>
      <c r="L17" s="172"/>
      <c r="M17" s="165"/>
      <c r="N17" s="164">
        <f t="shared" si="0"/>
        <v>0</v>
      </c>
    </row>
    <row r="18" spans="1:14" ht="12.75">
      <c r="A18" s="159" t="s">
        <v>229</v>
      </c>
      <c r="B18" s="297"/>
      <c r="C18" s="168"/>
      <c r="D18" s="168"/>
      <c r="E18" s="168"/>
      <c r="F18" s="168"/>
      <c r="G18" s="160">
        <f t="shared" si="2"/>
        <v>0</v>
      </c>
      <c r="H18" s="297"/>
      <c r="I18" s="172"/>
      <c r="J18" s="165">
        <f t="shared" si="1"/>
        <v>0</v>
      </c>
      <c r="K18" s="165"/>
      <c r="L18" s="172"/>
      <c r="M18" s="165"/>
      <c r="N18" s="164">
        <f t="shared" si="0"/>
        <v>0</v>
      </c>
    </row>
    <row r="19" spans="1:14" ht="12.75">
      <c r="A19" s="159" t="s">
        <v>286</v>
      </c>
      <c r="B19" s="297"/>
      <c r="C19" s="168"/>
      <c r="D19" s="168"/>
      <c r="E19" s="168"/>
      <c r="F19" s="168"/>
      <c r="G19" s="160">
        <f t="shared" si="2"/>
        <v>0</v>
      </c>
      <c r="H19" s="297"/>
      <c r="I19" s="172"/>
      <c r="J19" s="165">
        <f t="shared" si="1"/>
        <v>0</v>
      </c>
      <c r="K19" s="165"/>
      <c r="L19" s="172"/>
      <c r="M19" s="165"/>
      <c r="N19" s="164">
        <f t="shared" si="0"/>
        <v>0</v>
      </c>
    </row>
    <row r="20" spans="1:14" ht="12.75">
      <c r="A20" s="159" t="s">
        <v>287</v>
      </c>
      <c r="B20" s="297"/>
      <c r="C20" s="168"/>
      <c r="D20" s="168"/>
      <c r="E20" s="168"/>
      <c r="F20" s="168"/>
      <c r="G20" s="160">
        <f t="shared" si="2"/>
        <v>0</v>
      </c>
      <c r="H20" s="297"/>
      <c r="I20" s="172"/>
      <c r="J20" s="165">
        <f>+I20*G20</f>
        <v>0</v>
      </c>
      <c r="K20" s="165"/>
      <c r="L20" s="172"/>
      <c r="M20" s="165"/>
      <c r="N20" s="164">
        <f t="shared" si="0"/>
        <v>0</v>
      </c>
    </row>
    <row r="21" spans="1:14" ht="12.75">
      <c r="A21" s="159"/>
      <c r="B21" s="159"/>
      <c r="G21" s="160"/>
      <c r="H21" s="159"/>
      <c r="I21" s="165"/>
      <c r="J21" s="165"/>
      <c r="K21" s="165"/>
      <c r="L21" s="165"/>
      <c r="M21" s="165"/>
      <c r="N21" s="164"/>
    </row>
    <row r="22" spans="1:14" ht="12.75">
      <c r="A22" s="158" t="s">
        <v>230</v>
      </c>
      <c r="B22" s="158"/>
      <c r="G22" s="160"/>
      <c r="H22" s="158"/>
      <c r="I22" s="165"/>
      <c r="J22" s="165"/>
      <c r="K22" s="165"/>
      <c r="L22" s="165"/>
      <c r="M22" s="165"/>
      <c r="N22" s="164"/>
    </row>
    <row r="23" spans="1:14" ht="12.75">
      <c r="A23" s="159" t="s">
        <v>231</v>
      </c>
      <c r="B23" s="297"/>
      <c r="C23" s="168"/>
      <c r="D23" s="168"/>
      <c r="E23" s="168"/>
      <c r="F23" s="168"/>
      <c r="G23" s="160">
        <f t="shared" si="2"/>
        <v>0</v>
      </c>
      <c r="H23" s="297"/>
      <c r="I23" s="172"/>
      <c r="J23" s="165">
        <f aca="true" t="shared" si="3" ref="J23:J34">+I23*G23</f>
        <v>0</v>
      </c>
      <c r="K23" s="165"/>
      <c r="L23" s="172"/>
      <c r="M23" s="165"/>
      <c r="N23" s="164">
        <f t="shared" si="0"/>
        <v>0</v>
      </c>
    </row>
    <row r="24" spans="1:14" ht="12.75">
      <c r="A24" s="159" t="s">
        <v>232</v>
      </c>
      <c r="B24" s="297"/>
      <c r="C24" s="168"/>
      <c r="D24" s="168"/>
      <c r="E24" s="168"/>
      <c r="F24" s="168"/>
      <c r="G24" s="160">
        <f t="shared" si="2"/>
        <v>0</v>
      </c>
      <c r="H24" s="297"/>
      <c r="I24" s="172"/>
      <c r="J24" s="165">
        <f t="shared" si="3"/>
        <v>0</v>
      </c>
      <c r="K24" s="165"/>
      <c r="L24" s="172"/>
      <c r="M24" s="165"/>
      <c r="N24" s="164">
        <f t="shared" si="0"/>
        <v>0</v>
      </c>
    </row>
    <row r="25" spans="1:14" ht="12.75">
      <c r="A25" s="159" t="s">
        <v>233</v>
      </c>
      <c r="B25" s="297"/>
      <c r="C25" s="168"/>
      <c r="D25" s="168"/>
      <c r="E25" s="168"/>
      <c r="F25" s="168"/>
      <c r="G25" s="160">
        <f t="shared" si="2"/>
        <v>0</v>
      </c>
      <c r="H25" s="297"/>
      <c r="I25" s="172"/>
      <c r="J25" s="165">
        <f t="shared" si="3"/>
        <v>0</v>
      </c>
      <c r="K25" s="165"/>
      <c r="L25" s="172"/>
      <c r="M25" s="165"/>
      <c r="N25" s="164">
        <f t="shared" si="0"/>
        <v>0</v>
      </c>
    </row>
    <row r="26" spans="1:14" ht="12.75">
      <c r="A26" s="159" t="s">
        <v>234</v>
      </c>
      <c r="B26" s="297"/>
      <c r="C26" s="168"/>
      <c r="D26" s="168"/>
      <c r="E26" s="168"/>
      <c r="F26" s="168"/>
      <c r="G26" s="160">
        <f t="shared" si="2"/>
        <v>0</v>
      </c>
      <c r="H26" s="297"/>
      <c r="I26" s="172"/>
      <c r="J26" s="165">
        <f t="shared" si="3"/>
        <v>0</v>
      </c>
      <c r="K26" s="165"/>
      <c r="L26" s="172"/>
      <c r="M26" s="165"/>
      <c r="N26" s="164">
        <f t="shared" si="0"/>
        <v>0</v>
      </c>
    </row>
    <row r="27" spans="1:14" ht="12.75">
      <c r="A27" s="159" t="s">
        <v>235</v>
      </c>
      <c r="B27" s="297"/>
      <c r="C27" s="168"/>
      <c r="D27" s="168"/>
      <c r="E27" s="168"/>
      <c r="F27" s="168"/>
      <c r="G27" s="160">
        <f t="shared" si="2"/>
        <v>0</v>
      </c>
      <c r="H27" s="297"/>
      <c r="I27" s="172"/>
      <c r="J27" s="165">
        <f t="shared" si="3"/>
        <v>0</v>
      </c>
      <c r="K27" s="165"/>
      <c r="L27" s="172"/>
      <c r="M27" s="165"/>
      <c r="N27" s="164">
        <f t="shared" si="0"/>
        <v>0</v>
      </c>
    </row>
    <row r="28" spans="1:14" ht="12.75">
      <c r="A28" s="159" t="s">
        <v>236</v>
      </c>
      <c r="B28" s="297"/>
      <c r="C28" s="168"/>
      <c r="D28" s="168"/>
      <c r="E28" s="168"/>
      <c r="F28" s="168"/>
      <c r="G28" s="160">
        <f t="shared" si="2"/>
        <v>0</v>
      </c>
      <c r="H28" s="297"/>
      <c r="I28" s="172"/>
      <c r="J28" s="165">
        <f t="shared" si="3"/>
        <v>0</v>
      </c>
      <c r="K28" s="165"/>
      <c r="L28" s="172"/>
      <c r="M28" s="165"/>
      <c r="N28" s="164">
        <f t="shared" si="0"/>
        <v>0</v>
      </c>
    </row>
    <row r="29" spans="1:14" ht="12.75">
      <c r="A29" s="159" t="s">
        <v>237</v>
      </c>
      <c r="B29" s="297"/>
      <c r="C29" s="168"/>
      <c r="D29" s="168"/>
      <c r="E29" s="168"/>
      <c r="F29" s="168"/>
      <c r="G29" s="160">
        <f t="shared" si="2"/>
        <v>0</v>
      </c>
      <c r="H29" s="297"/>
      <c r="I29" s="172"/>
      <c r="J29" s="165">
        <f t="shared" si="3"/>
        <v>0</v>
      </c>
      <c r="K29" s="165"/>
      <c r="L29" s="172"/>
      <c r="M29" s="165"/>
      <c r="N29" s="164">
        <f t="shared" si="0"/>
        <v>0</v>
      </c>
    </row>
    <row r="30" spans="1:14" ht="12.75">
      <c r="A30" s="159" t="s">
        <v>238</v>
      </c>
      <c r="B30" s="297"/>
      <c r="C30" s="168"/>
      <c r="D30" s="168"/>
      <c r="E30" s="168"/>
      <c r="F30" s="168"/>
      <c r="G30" s="160">
        <f t="shared" si="2"/>
        <v>0</v>
      </c>
      <c r="H30" s="297"/>
      <c r="I30" s="172"/>
      <c r="J30" s="165">
        <f t="shared" si="3"/>
        <v>0</v>
      </c>
      <c r="K30" s="165"/>
      <c r="L30" s="172"/>
      <c r="M30" s="165"/>
      <c r="N30" s="164">
        <f t="shared" si="0"/>
        <v>0</v>
      </c>
    </row>
    <row r="31" spans="1:14" ht="12.75">
      <c r="A31" s="159" t="s">
        <v>239</v>
      </c>
      <c r="B31" s="297"/>
      <c r="C31" s="168"/>
      <c r="D31" s="168"/>
      <c r="E31" s="168"/>
      <c r="F31" s="168"/>
      <c r="G31" s="160">
        <f t="shared" si="2"/>
        <v>0</v>
      </c>
      <c r="H31" s="297"/>
      <c r="I31" s="172"/>
      <c r="J31" s="165">
        <f t="shared" si="3"/>
        <v>0</v>
      </c>
      <c r="K31" s="165"/>
      <c r="L31" s="172"/>
      <c r="M31" s="165"/>
      <c r="N31" s="164">
        <f t="shared" si="0"/>
        <v>0</v>
      </c>
    </row>
    <row r="32" spans="1:14" ht="12.75">
      <c r="A32" s="159" t="s">
        <v>240</v>
      </c>
      <c r="B32" s="297"/>
      <c r="C32" s="168"/>
      <c r="D32" s="168"/>
      <c r="E32" s="168"/>
      <c r="F32" s="168"/>
      <c r="G32" s="160">
        <f t="shared" si="2"/>
        <v>0</v>
      </c>
      <c r="H32" s="297"/>
      <c r="I32" s="172"/>
      <c r="J32" s="165">
        <f t="shared" si="3"/>
        <v>0</v>
      </c>
      <c r="K32" s="165"/>
      <c r="L32" s="172"/>
      <c r="M32" s="165"/>
      <c r="N32" s="164">
        <f t="shared" si="0"/>
        <v>0</v>
      </c>
    </row>
    <row r="33" spans="1:14" ht="12.75">
      <c r="A33" s="159" t="s">
        <v>241</v>
      </c>
      <c r="B33" s="297"/>
      <c r="C33" s="168"/>
      <c r="D33" s="168"/>
      <c r="E33" s="168"/>
      <c r="F33" s="168"/>
      <c r="G33" s="160">
        <f t="shared" si="2"/>
        <v>0</v>
      </c>
      <c r="H33" s="297"/>
      <c r="I33" s="172"/>
      <c r="J33" s="165">
        <f t="shared" si="3"/>
        <v>0</v>
      </c>
      <c r="K33" s="165"/>
      <c r="L33" s="172"/>
      <c r="M33" s="165"/>
      <c r="N33" s="164">
        <f t="shared" si="0"/>
        <v>0</v>
      </c>
    </row>
    <row r="34" spans="1:14" ht="12.75">
      <c r="A34" s="159" t="s">
        <v>242</v>
      </c>
      <c r="B34" s="297"/>
      <c r="C34" s="168"/>
      <c r="D34" s="168"/>
      <c r="E34" s="168"/>
      <c r="F34" s="168"/>
      <c r="G34" s="160">
        <f t="shared" si="2"/>
        <v>0</v>
      </c>
      <c r="H34" s="297"/>
      <c r="I34" s="172"/>
      <c r="J34" s="165">
        <f t="shared" si="3"/>
        <v>0</v>
      </c>
      <c r="K34" s="165"/>
      <c r="L34" s="172"/>
      <c r="M34" s="165"/>
      <c r="N34" s="164">
        <f t="shared" si="0"/>
        <v>0</v>
      </c>
    </row>
    <row r="35" spans="1:14" ht="12.75">
      <c r="A35" s="158" t="s">
        <v>243</v>
      </c>
      <c r="B35" s="158"/>
      <c r="G35" s="160"/>
      <c r="H35" s="158"/>
      <c r="I35" s="165"/>
      <c r="J35" s="165"/>
      <c r="K35" s="165"/>
      <c r="L35" s="165"/>
      <c r="M35" s="165"/>
      <c r="N35" s="164"/>
    </row>
    <row r="36" spans="1:14" ht="12.75">
      <c r="A36" s="159" t="s">
        <v>244</v>
      </c>
      <c r="B36" s="297"/>
      <c r="C36" s="168"/>
      <c r="D36" s="168"/>
      <c r="E36" s="168"/>
      <c r="F36" s="168"/>
      <c r="G36" s="160">
        <f t="shared" si="2"/>
        <v>0</v>
      </c>
      <c r="H36" s="297"/>
      <c r="I36" s="172"/>
      <c r="J36" s="165">
        <f aca="true" t="shared" si="4" ref="J36:J41">+I36*G36</f>
        <v>0</v>
      </c>
      <c r="K36" s="165"/>
      <c r="L36" s="172"/>
      <c r="M36" s="165"/>
      <c r="N36" s="164">
        <f t="shared" si="0"/>
        <v>0</v>
      </c>
    </row>
    <row r="37" spans="1:14" ht="12.75">
      <c r="A37" s="159" t="s">
        <v>245</v>
      </c>
      <c r="B37" s="297"/>
      <c r="C37" s="168"/>
      <c r="D37" s="168"/>
      <c r="E37" s="168"/>
      <c r="F37" s="168"/>
      <c r="G37" s="160">
        <f t="shared" si="2"/>
        <v>0</v>
      </c>
      <c r="H37" s="297"/>
      <c r="I37" s="172"/>
      <c r="J37" s="165">
        <f t="shared" si="4"/>
        <v>0</v>
      </c>
      <c r="K37" s="165"/>
      <c r="L37" s="172"/>
      <c r="M37" s="165"/>
      <c r="N37" s="164">
        <f t="shared" si="0"/>
        <v>0</v>
      </c>
    </row>
    <row r="38" spans="1:14" ht="12.75">
      <c r="A38" s="159" t="s">
        <v>246</v>
      </c>
      <c r="B38" s="297"/>
      <c r="C38" s="168"/>
      <c r="D38" s="168"/>
      <c r="E38" s="168"/>
      <c r="F38" s="168"/>
      <c r="G38" s="160">
        <f t="shared" si="2"/>
        <v>0</v>
      </c>
      <c r="H38" s="297"/>
      <c r="I38" s="172"/>
      <c r="J38" s="165">
        <f t="shared" si="4"/>
        <v>0</v>
      </c>
      <c r="K38" s="165"/>
      <c r="L38" s="172"/>
      <c r="M38" s="165"/>
      <c r="N38" s="164">
        <f t="shared" si="0"/>
        <v>0</v>
      </c>
    </row>
    <row r="39" spans="1:14" ht="12.75">
      <c r="A39" s="159" t="s">
        <v>247</v>
      </c>
      <c r="B39" s="297"/>
      <c r="C39" s="168"/>
      <c r="D39" s="168"/>
      <c r="E39" s="168"/>
      <c r="F39" s="168"/>
      <c r="G39" s="160">
        <f t="shared" si="2"/>
        <v>0</v>
      </c>
      <c r="H39" s="297"/>
      <c r="I39" s="172"/>
      <c r="J39" s="165">
        <f t="shared" si="4"/>
        <v>0</v>
      </c>
      <c r="K39" s="165"/>
      <c r="L39" s="172"/>
      <c r="M39" s="165"/>
      <c r="N39" s="164">
        <f t="shared" si="0"/>
        <v>0</v>
      </c>
    </row>
    <row r="40" spans="1:14" ht="12.75">
      <c r="A40" s="159" t="s">
        <v>248</v>
      </c>
      <c r="B40" s="297"/>
      <c r="C40" s="168"/>
      <c r="D40" s="168"/>
      <c r="E40" s="168"/>
      <c r="F40" s="168"/>
      <c r="G40" s="160">
        <f t="shared" si="2"/>
        <v>0</v>
      </c>
      <c r="H40" s="297"/>
      <c r="I40" s="172"/>
      <c r="J40" s="165">
        <f t="shared" si="4"/>
        <v>0</v>
      </c>
      <c r="K40" s="165"/>
      <c r="L40" s="172"/>
      <c r="M40" s="165"/>
      <c r="N40" s="164">
        <f t="shared" si="0"/>
        <v>0</v>
      </c>
    </row>
    <row r="41" spans="1:14" ht="12.75">
      <c r="A41" s="159" t="s">
        <v>250</v>
      </c>
      <c r="B41" s="297"/>
      <c r="C41" s="168"/>
      <c r="D41" s="168"/>
      <c r="E41" s="168"/>
      <c r="F41" s="168"/>
      <c r="G41" s="160">
        <f t="shared" si="2"/>
        <v>0</v>
      </c>
      <c r="H41" s="297"/>
      <c r="I41" s="172"/>
      <c r="J41" s="165">
        <f t="shared" si="4"/>
        <v>0</v>
      </c>
      <c r="K41" s="165"/>
      <c r="L41" s="172"/>
      <c r="M41" s="165"/>
      <c r="N41" s="164">
        <f t="shared" si="0"/>
        <v>0</v>
      </c>
    </row>
    <row r="42" spans="1:14" ht="12.75">
      <c r="A42" s="158" t="s">
        <v>251</v>
      </c>
      <c r="B42" s="158"/>
      <c r="G42" s="160"/>
      <c r="H42" s="158"/>
      <c r="I42" s="165"/>
      <c r="J42" s="165"/>
      <c r="K42" s="165"/>
      <c r="L42" s="165"/>
      <c r="M42" s="165"/>
      <c r="N42" s="164"/>
    </row>
    <row r="43" spans="1:14" ht="12.75">
      <c r="A43" s="159" t="s">
        <v>252</v>
      </c>
      <c r="B43" s="297"/>
      <c r="C43" s="168"/>
      <c r="D43" s="168"/>
      <c r="E43" s="168"/>
      <c r="F43" s="168"/>
      <c r="G43" s="160">
        <f t="shared" si="2"/>
        <v>0</v>
      </c>
      <c r="H43" s="297"/>
      <c r="I43" s="172"/>
      <c r="J43" s="165">
        <f aca="true" t="shared" si="5" ref="J43:J71">+I43*G43</f>
        <v>0</v>
      </c>
      <c r="K43" s="165"/>
      <c r="L43" s="172"/>
      <c r="M43" s="165"/>
      <c r="N43" s="164">
        <f t="shared" si="0"/>
        <v>0</v>
      </c>
    </row>
    <row r="44" spans="1:14" ht="12.75">
      <c r="A44" s="159" t="s">
        <v>253</v>
      </c>
      <c r="B44" s="297"/>
      <c r="C44" s="168"/>
      <c r="D44" s="168"/>
      <c r="E44" s="168"/>
      <c r="F44" s="168"/>
      <c r="G44" s="160">
        <f t="shared" si="2"/>
        <v>0</v>
      </c>
      <c r="H44" s="297"/>
      <c r="I44" s="172"/>
      <c r="J44" s="165">
        <f t="shared" si="5"/>
        <v>0</v>
      </c>
      <c r="K44" s="165"/>
      <c r="L44" s="172"/>
      <c r="M44" s="165"/>
      <c r="N44" s="164">
        <f t="shared" si="0"/>
        <v>0</v>
      </c>
    </row>
    <row r="45" spans="1:14" ht="12.75">
      <c r="A45" s="159" t="s">
        <v>254</v>
      </c>
      <c r="B45" s="297"/>
      <c r="C45" s="168"/>
      <c r="D45" s="168"/>
      <c r="E45" s="168"/>
      <c r="F45" s="168"/>
      <c r="G45" s="160">
        <f t="shared" si="2"/>
        <v>0</v>
      </c>
      <c r="H45" s="297"/>
      <c r="I45" s="172"/>
      <c r="J45" s="165">
        <f t="shared" si="5"/>
        <v>0</v>
      </c>
      <c r="K45" s="165"/>
      <c r="L45" s="172"/>
      <c r="M45" s="165"/>
      <c r="N45" s="164">
        <f t="shared" si="0"/>
        <v>0</v>
      </c>
    </row>
    <row r="46" spans="1:14" ht="12.75">
      <c r="A46" s="159" t="s">
        <v>255</v>
      </c>
      <c r="B46" s="297"/>
      <c r="C46" s="168"/>
      <c r="D46" s="168"/>
      <c r="E46" s="168"/>
      <c r="F46" s="168"/>
      <c r="G46" s="160">
        <f t="shared" si="2"/>
        <v>0</v>
      </c>
      <c r="H46" s="297"/>
      <c r="I46" s="172"/>
      <c r="J46" s="165">
        <f t="shared" si="5"/>
        <v>0</v>
      </c>
      <c r="K46" s="165"/>
      <c r="L46" s="172"/>
      <c r="M46" s="165"/>
      <c r="N46" s="164">
        <f t="shared" si="0"/>
        <v>0</v>
      </c>
    </row>
    <row r="47" spans="1:14" ht="12.75">
      <c r="A47" s="159" t="s">
        <v>256</v>
      </c>
      <c r="B47" s="297"/>
      <c r="C47" s="168"/>
      <c r="D47" s="168"/>
      <c r="E47" s="168"/>
      <c r="F47" s="168"/>
      <c r="G47" s="160">
        <f t="shared" si="2"/>
        <v>0</v>
      </c>
      <c r="H47" s="297"/>
      <c r="I47" s="172"/>
      <c r="J47" s="165">
        <f t="shared" si="5"/>
        <v>0</v>
      </c>
      <c r="K47" s="165"/>
      <c r="L47" s="172"/>
      <c r="M47" s="165"/>
      <c r="N47" s="164">
        <f t="shared" si="0"/>
        <v>0</v>
      </c>
    </row>
    <row r="48" spans="1:14" ht="12.75">
      <c r="A48" s="159" t="s">
        <v>257</v>
      </c>
      <c r="B48" s="297"/>
      <c r="C48" s="168"/>
      <c r="D48" s="168"/>
      <c r="E48" s="168"/>
      <c r="F48" s="168"/>
      <c r="G48" s="160">
        <f t="shared" si="2"/>
        <v>0</v>
      </c>
      <c r="H48" s="297"/>
      <c r="I48" s="172"/>
      <c r="J48" s="165">
        <f t="shared" si="5"/>
        <v>0</v>
      </c>
      <c r="K48" s="165"/>
      <c r="L48" s="172"/>
      <c r="M48" s="165"/>
      <c r="N48" s="164">
        <f t="shared" si="0"/>
        <v>0</v>
      </c>
    </row>
    <row r="49" spans="1:14" ht="12.75">
      <c r="A49" s="159" t="s">
        <v>258</v>
      </c>
      <c r="B49" s="297"/>
      <c r="C49" s="168"/>
      <c r="D49" s="168"/>
      <c r="E49" s="168"/>
      <c r="F49" s="168"/>
      <c r="G49" s="160">
        <f t="shared" si="2"/>
        <v>0</v>
      </c>
      <c r="H49" s="297"/>
      <c r="I49" s="172"/>
      <c r="J49" s="165">
        <f t="shared" si="5"/>
        <v>0</v>
      </c>
      <c r="K49" s="165"/>
      <c r="L49" s="172"/>
      <c r="M49" s="165"/>
      <c r="N49" s="164">
        <f t="shared" si="0"/>
        <v>0</v>
      </c>
    </row>
    <row r="50" spans="1:14" ht="12.75">
      <c r="A50" s="159" t="s">
        <v>259</v>
      </c>
      <c r="B50" s="297"/>
      <c r="C50" s="168"/>
      <c r="D50" s="168"/>
      <c r="E50" s="168"/>
      <c r="F50" s="168"/>
      <c r="G50" s="160">
        <f t="shared" si="2"/>
        <v>0</v>
      </c>
      <c r="H50" s="297"/>
      <c r="I50" s="172"/>
      <c r="J50" s="165">
        <f t="shared" si="5"/>
        <v>0</v>
      </c>
      <c r="K50" s="165"/>
      <c r="L50" s="172"/>
      <c r="M50" s="165"/>
      <c r="N50" s="164">
        <f t="shared" si="0"/>
        <v>0</v>
      </c>
    </row>
    <row r="51" spans="1:14" ht="12.75">
      <c r="A51" s="159" t="s">
        <v>260</v>
      </c>
      <c r="B51" s="297"/>
      <c r="C51" s="168"/>
      <c r="D51" s="168"/>
      <c r="E51" s="168"/>
      <c r="F51" s="168"/>
      <c r="G51" s="160">
        <f t="shared" si="2"/>
        <v>0</v>
      </c>
      <c r="H51" s="297"/>
      <c r="I51" s="172"/>
      <c r="J51" s="165">
        <f t="shared" si="5"/>
        <v>0</v>
      </c>
      <c r="K51" s="165"/>
      <c r="L51" s="172"/>
      <c r="M51" s="165"/>
      <c r="N51" s="164">
        <f t="shared" si="0"/>
        <v>0</v>
      </c>
    </row>
    <row r="52" spans="1:14" ht="12.75">
      <c r="A52" s="159" t="s">
        <v>261</v>
      </c>
      <c r="B52" s="297"/>
      <c r="C52" s="168"/>
      <c r="D52" s="168"/>
      <c r="E52" s="168"/>
      <c r="F52" s="168"/>
      <c r="G52" s="160">
        <f t="shared" si="2"/>
        <v>0</v>
      </c>
      <c r="H52" s="297"/>
      <c r="I52" s="172"/>
      <c r="J52" s="165">
        <f t="shared" si="5"/>
        <v>0</v>
      </c>
      <c r="K52" s="165"/>
      <c r="L52" s="172"/>
      <c r="M52" s="165"/>
      <c r="N52" s="164">
        <f t="shared" si="0"/>
        <v>0</v>
      </c>
    </row>
    <row r="53" spans="1:14" ht="12.75">
      <c r="A53" s="159" t="s">
        <v>262</v>
      </c>
      <c r="B53" s="297"/>
      <c r="C53" s="168"/>
      <c r="D53" s="168"/>
      <c r="E53" s="168"/>
      <c r="F53" s="168"/>
      <c r="G53" s="160">
        <f t="shared" si="2"/>
        <v>0</v>
      </c>
      <c r="H53" s="297"/>
      <c r="I53" s="172"/>
      <c r="J53" s="165">
        <f t="shared" si="5"/>
        <v>0</v>
      </c>
      <c r="K53" s="165"/>
      <c r="L53" s="172"/>
      <c r="M53" s="165"/>
      <c r="N53" s="164">
        <f t="shared" si="0"/>
        <v>0</v>
      </c>
    </row>
    <row r="54" spans="1:14" ht="12.75">
      <c r="A54" s="159" t="s">
        <v>263</v>
      </c>
      <c r="B54" s="297"/>
      <c r="C54" s="168"/>
      <c r="D54" s="168"/>
      <c r="E54" s="168"/>
      <c r="F54" s="168"/>
      <c r="G54" s="160">
        <f t="shared" si="2"/>
        <v>0</v>
      </c>
      <c r="H54" s="297"/>
      <c r="I54" s="172"/>
      <c r="J54" s="165">
        <f t="shared" si="5"/>
        <v>0</v>
      </c>
      <c r="K54" s="165"/>
      <c r="L54" s="172"/>
      <c r="M54" s="165"/>
      <c r="N54" s="164">
        <f t="shared" si="0"/>
        <v>0</v>
      </c>
    </row>
    <row r="55" spans="1:14" ht="12.75">
      <c r="A55" s="159" t="s">
        <v>264</v>
      </c>
      <c r="B55" s="297"/>
      <c r="C55" s="168"/>
      <c r="D55" s="168"/>
      <c r="E55" s="168"/>
      <c r="F55" s="168"/>
      <c r="G55" s="160">
        <f t="shared" si="2"/>
        <v>0</v>
      </c>
      <c r="H55" s="297"/>
      <c r="I55" s="172"/>
      <c r="J55" s="165">
        <f t="shared" si="5"/>
        <v>0</v>
      </c>
      <c r="K55" s="165"/>
      <c r="L55" s="172"/>
      <c r="M55" s="165"/>
      <c r="N55" s="164">
        <f t="shared" si="0"/>
        <v>0</v>
      </c>
    </row>
    <row r="56" spans="1:14" ht="12.75">
      <c r="A56" s="159" t="s">
        <v>265</v>
      </c>
      <c r="B56" s="297"/>
      <c r="C56" s="168"/>
      <c r="D56" s="168"/>
      <c r="E56" s="168"/>
      <c r="F56" s="168"/>
      <c r="G56" s="160">
        <f t="shared" si="2"/>
        <v>0</v>
      </c>
      <c r="H56" s="297"/>
      <c r="I56" s="172"/>
      <c r="J56" s="165">
        <f t="shared" si="5"/>
        <v>0</v>
      </c>
      <c r="K56" s="165"/>
      <c r="L56" s="172"/>
      <c r="M56" s="165"/>
      <c r="N56" s="164">
        <f t="shared" si="0"/>
        <v>0</v>
      </c>
    </row>
    <row r="57" spans="1:14" ht="12.75">
      <c r="A57" s="159" t="s">
        <v>266</v>
      </c>
      <c r="B57" s="297"/>
      <c r="C57" s="168"/>
      <c r="D57" s="168"/>
      <c r="E57" s="168"/>
      <c r="F57" s="168"/>
      <c r="G57" s="160">
        <f t="shared" si="2"/>
        <v>0</v>
      </c>
      <c r="H57" s="297"/>
      <c r="I57" s="172"/>
      <c r="J57" s="165">
        <f t="shared" si="5"/>
        <v>0</v>
      </c>
      <c r="K57" s="165"/>
      <c r="L57" s="172"/>
      <c r="M57" s="165"/>
      <c r="N57" s="164">
        <f t="shared" si="0"/>
        <v>0</v>
      </c>
    </row>
    <row r="58" spans="1:14" ht="12.75">
      <c r="A58" s="159" t="s">
        <v>267</v>
      </c>
      <c r="B58" s="297"/>
      <c r="C58" s="168"/>
      <c r="D58" s="168"/>
      <c r="E58" s="168"/>
      <c r="F58" s="168"/>
      <c r="G58" s="160">
        <f t="shared" si="2"/>
        <v>0</v>
      </c>
      <c r="H58" s="297"/>
      <c r="I58" s="172"/>
      <c r="J58" s="165">
        <f t="shared" si="5"/>
        <v>0</v>
      </c>
      <c r="K58" s="165"/>
      <c r="L58" s="172"/>
      <c r="M58" s="165"/>
      <c r="N58" s="164">
        <f t="shared" si="0"/>
        <v>0</v>
      </c>
    </row>
    <row r="59" spans="1:14" ht="12.75">
      <c r="A59" s="159" t="s">
        <v>268</v>
      </c>
      <c r="B59" s="297"/>
      <c r="C59" s="168"/>
      <c r="D59" s="168"/>
      <c r="E59" s="168"/>
      <c r="F59" s="168"/>
      <c r="G59" s="160">
        <f t="shared" si="2"/>
        <v>0</v>
      </c>
      <c r="H59" s="297"/>
      <c r="I59" s="172"/>
      <c r="J59" s="165">
        <f t="shared" si="5"/>
        <v>0</v>
      </c>
      <c r="K59" s="165"/>
      <c r="L59" s="172"/>
      <c r="M59" s="165"/>
      <c r="N59" s="164">
        <f t="shared" si="0"/>
        <v>0</v>
      </c>
    </row>
    <row r="60" spans="1:14" ht="12.75">
      <c r="A60" s="159" t="s">
        <v>269</v>
      </c>
      <c r="B60" s="297"/>
      <c r="C60" s="168"/>
      <c r="D60" s="168"/>
      <c r="E60" s="168"/>
      <c r="F60" s="168"/>
      <c r="G60" s="160">
        <f t="shared" si="2"/>
        <v>0</v>
      </c>
      <c r="H60" s="297"/>
      <c r="I60" s="172"/>
      <c r="J60" s="165">
        <f t="shared" si="5"/>
        <v>0</v>
      </c>
      <c r="K60" s="165"/>
      <c r="L60" s="172"/>
      <c r="M60" s="165"/>
      <c r="N60" s="164">
        <f t="shared" si="0"/>
        <v>0</v>
      </c>
    </row>
    <row r="61" spans="1:14" ht="12.75">
      <c r="A61" s="159" t="s">
        <v>270</v>
      </c>
      <c r="B61" s="297"/>
      <c r="C61" s="168"/>
      <c r="D61" s="168"/>
      <c r="E61" s="168"/>
      <c r="F61" s="168"/>
      <c r="G61" s="160">
        <f t="shared" si="2"/>
        <v>0</v>
      </c>
      <c r="H61" s="297"/>
      <c r="I61" s="172"/>
      <c r="J61" s="165">
        <f t="shared" si="5"/>
        <v>0</v>
      </c>
      <c r="K61" s="165"/>
      <c r="L61" s="172"/>
      <c r="M61" s="165"/>
      <c r="N61" s="164">
        <f t="shared" si="0"/>
        <v>0</v>
      </c>
    </row>
    <row r="62" spans="1:14" ht="12.75">
      <c r="A62" s="159" t="s">
        <v>271</v>
      </c>
      <c r="B62" s="297"/>
      <c r="C62" s="168"/>
      <c r="D62" s="168"/>
      <c r="E62" s="168"/>
      <c r="F62" s="168"/>
      <c r="G62" s="160">
        <f t="shared" si="2"/>
        <v>0</v>
      </c>
      <c r="H62" s="297"/>
      <c r="I62" s="172"/>
      <c r="J62" s="165">
        <f t="shared" si="5"/>
        <v>0</v>
      </c>
      <c r="K62" s="165"/>
      <c r="L62" s="172"/>
      <c r="M62" s="165"/>
      <c r="N62" s="164">
        <f t="shared" si="0"/>
        <v>0</v>
      </c>
    </row>
    <row r="63" spans="1:14" ht="12.75">
      <c r="A63" s="159" t="s">
        <v>272</v>
      </c>
      <c r="B63" s="297"/>
      <c r="C63" s="168"/>
      <c r="D63" s="168"/>
      <c r="E63" s="168"/>
      <c r="F63" s="168"/>
      <c r="G63" s="160">
        <f t="shared" si="2"/>
        <v>0</v>
      </c>
      <c r="H63" s="297"/>
      <c r="I63" s="172"/>
      <c r="J63" s="165">
        <f t="shared" si="5"/>
        <v>0</v>
      </c>
      <c r="K63" s="165"/>
      <c r="L63" s="172"/>
      <c r="M63" s="165"/>
      <c r="N63" s="164">
        <f t="shared" si="0"/>
        <v>0</v>
      </c>
    </row>
    <row r="64" spans="1:14" ht="12.75">
      <c r="A64" s="159" t="s">
        <v>273</v>
      </c>
      <c r="B64" s="297"/>
      <c r="C64" s="168"/>
      <c r="D64" s="168"/>
      <c r="E64" s="168"/>
      <c r="F64" s="168"/>
      <c r="G64" s="160">
        <f t="shared" si="2"/>
        <v>0</v>
      </c>
      <c r="H64" s="297"/>
      <c r="I64" s="172"/>
      <c r="J64" s="165">
        <f t="shared" si="5"/>
        <v>0</v>
      </c>
      <c r="K64" s="165"/>
      <c r="L64" s="172"/>
      <c r="M64" s="165"/>
      <c r="N64" s="164">
        <f t="shared" si="0"/>
        <v>0</v>
      </c>
    </row>
    <row r="65" spans="1:14" ht="12.75">
      <c r="A65" s="159" t="s">
        <v>274</v>
      </c>
      <c r="B65" s="297"/>
      <c r="C65" s="168"/>
      <c r="D65" s="168"/>
      <c r="E65" s="168"/>
      <c r="F65" s="168"/>
      <c r="G65" s="160">
        <f t="shared" si="2"/>
        <v>0</v>
      </c>
      <c r="H65" s="297"/>
      <c r="I65" s="172"/>
      <c r="J65" s="165">
        <f t="shared" si="5"/>
        <v>0</v>
      </c>
      <c r="K65" s="165"/>
      <c r="L65" s="172"/>
      <c r="M65" s="165"/>
      <c r="N65" s="164">
        <f t="shared" si="0"/>
        <v>0</v>
      </c>
    </row>
    <row r="66" spans="1:14" ht="12.75">
      <c r="A66" s="159" t="s">
        <v>275</v>
      </c>
      <c r="B66" s="297"/>
      <c r="C66" s="168"/>
      <c r="D66" s="168"/>
      <c r="E66" s="168"/>
      <c r="F66" s="168"/>
      <c r="G66" s="160">
        <f t="shared" si="2"/>
        <v>0</v>
      </c>
      <c r="H66" s="297"/>
      <c r="I66" s="172"/>
      <c r="J66" s="165">
        <f t="shared" si="5"/>
        <v>0</v>
      </c>
      <c r="K66" s="165"/>
      <c r="L66" s="172"/>
      <c r="M66" s="165"/>
      <c r="N66" s="164">
        <f aca="true" t="shared" si="6" ref="N66:N91">SUM(J66:M66)</f>
        <v>0</v>
      </c>
    </row>
    <row r="67" spans="1:14" ht="12.75">
      <c r="A67" s="159" t="s">
        <v>276</v>
      </c>
      <c r="B67" s="297"/>
      <c r="C67" s="168"/>
      <c r="D67" s="168"/>
      <c r="E67" s="168"/>
      <c r="F67" s="168"/>
      <c r="G67" s="160">
        <f t="shared" si="2"/>
        <v>0</v>
      </c>
      <c r="H67" s="297"/>
      <c r="I67" s="172"/>
      <c r="J67" s="165">
        <f t="shared" si="5"/>
        <v>0</v>
      </c>
      <c r="K67" s="165"/>
      <c r="L67" s="172"/>
      <c r="M67" s="165"/>
      <c r="N67" s="164">
        <f t="shared" si="6"/>
        <v>0</v>
      </c>
    </row>
    <row r="68" spans="1:14" ht="12.75">
      <c r="A68" s="159" t="s">
        <v>277</v>
      </c>
      <c r="B68" s="297"/>
      <c r="C68" s="168"/>
      <c r="D68" s="168"/>
      <c r="E68" s="168"/>
      <c r="F68" s="168"/>
      <c r="G68" s="160">
        <f t="shared" si="2"/>
        <v>0</v>
      </c>
      <c r="H68" s="297"/>
      <c r="I68" s="172"/>
      <c r="J68" s="165">
        <f t="shared" si="5"/>
        <v>0</v>
      </c>
      <c r="K68" s="165"/>
      <c r="L68" s="172"/>
      <c r="M68" s="165"/>
      <c r="N68" s="164">
        <f t="shared" si="6"/>
        <v>0</v>
      </c>
    </row>
    <row r="69" spans="1:14" ht="12.75">
      <c r="A69" s="159" t="s">
        <v>278</v>
      </c>
      <c r="B69" s="297"/>
      <c r="C69" s="168"/>
      <c r="D69" s="168"/>
      <c r="E69" s="168"/>
      <c r="F69" s="168"/>
      <c r="G69" s="160">
        <f t="shared" si="2"/>
        <v>0</v>
      </c>
      <c r="H69" s="297"/>
      <c r="I69" s="172"/>
      <c r="J69" s="165">
        <f t="shared" si="5"/>
        <v>0</v>
      </c>
      <c r="K69" s="165"/>
      <c r="L69" s="172"/>
      <c r="M69" s="165"/>
      <c r="N69" s="164">
        <f t="shared" si="6"/>
        <v>0</v>
      </c>
    </row>
    <row r="70" spans="1:14" ht="12.75">
      <c r="A70" s="159" t="s">
        <v>279</v>
      </c>
      <c r="B70" s="297"/>
      <c r="C70" s="168"/>
      <c r="D70" s="168"/>
      <c r="E70" s="168"/>
      <c r="F70" s="168"/>
      <c r="G70" s="160">
        <f t="shared" si="2"/>
        <v>0</v>
      </c>
      <c r="H70" s="297"/>
      <c r="I70" s="172"/>
      <c r="J70" s="165">
        <f t="shared" si="5"/>
        <v>0</v>
      </c>
      <c r="K70" s="165"/>
      <c r="L70" s="172"/>
      <c r="M70" s="165"/>
      <c r="N70" s="164">
        <f t="shared" si="6"/>
        <v>0</v>
      </c>
    </row>
    <row r="71" spans="1:14" ht="12.75">
      <c r="A71" s="159" t="s">
        <v>280</v>
      </c>
      <c r="B71" s="297"/>
      <c r="C71" s="168"/>
      <c r="D71" s="168"/>
      <c r="E71" s="168"/>
      <c r="F71" s="168"/>
      <c r="G71" s="160">
        <f t="shared" si="2"/>
        <v>0</v>
      </c>
      <c r="H71" s="297"/>
      <c r="I71" s="172"/>
      <c r="J71" s="165">
        <f t="shared" si="5"/>
        <v>0</v>
      </c>
      <c r="K71" s="165"/>
      <c r="L71" s="172"/>
      <c r="M71" s="165"/>
      <c r="N71" s="164">
        <f t="shared" si="6"/>
        <v>0</v>
      </c>
    </row>
    <row r="72" spans="1:14" ht="12.75">
      <c r="A72" s="158" t="s">
        <v>288</v>
      </c>
      <c r="B72" s="158"/>
      <c r="G72" s="160"/>
      <c r="H72" s="158"/>
      <c r="I72" s="165"/>
      <c r="J72" s="165"/>
      <c r="K72" s="165"/>
      <c r="L72" s="165"/>
      <c r="M72" s="165"/>
      <c r="N72" s="164"/>
    </row>
    <row r="73" spans="1:14" ht="12.75">
      <c r="A73" s="169" t="s">
        <v>281</v>
      </c>
      <c r="B73" s="169"/>
      <c r="C73" s="168"/>
      <c r="D73" s="168"/>
      <c r="E73" s="168"/>
      <c r="F73" s="168"/>
      <c r="G73" s="160">
        <f t="shared" si="2"/>
        <v>0</v>
      </c>
      <c r="H73" s="169"/>
      <c r="I73" s="172"/>
      <c r="J73" s="165">
        <f aca="true" t="shared" si="7" ref="J73:J84">+I73*G73</f>
        <v>0</v>
      </c>
      <c r="K73" s="165"/>
      <c r="L73" s="172"/>
      <c r="M73" s="165"/>
      <c r="N73" s="164">
        <f t="shared" si="6"/>
        <v>0</v>
      </c>
    </row>
    <row r="74" spans="1:14" ht="12.75">
      <c r="A74" s="170"/>
      <c r="B74" s="170"/>
      <c r="C74" s="168"/>
      <c r="D74" s="168"/>
      <c r="E74" s="168"/>
      <c r="F74" s="168"/>
      <c r="G74" s="160">
        <f t="shared" si="2"/>
        <v>0</v>
      </c>
      <c r="H74" s="170"/>
      <c r="I74" s="172"/>
      <c r="J74" s="165">
        <f t="shared" si="7"/>
        <v>0</v>
      </c>
      <c r="K74" s="165"/>
      <c r="L74" s="172"/>
      <c r="M74" s="165"/>
      <c r="N74" s="164">
        <f t="shared" si="6"/>
        <v>0</v>
      </c>
    </row>
    <row r="75" spans="1:14" ht="12.75">
      <c r="A75" s="170"/>
      <c r="B75" s="170"/>
      <c r="C75" s="168"/>
      <c r="D75" s="168"/>
      <c r="E75" s="168"/>
      <c r="F75" s="168"/>
      <c r="G75" s="160">
        <f t="shared" si="2"/>
        <v>0</v>
      </c>
      <c r="H75" s="170"/>
      <c r="I75" s="172"/>
      <c r="J75" s="165">
        <f t="shared" si="7"/>
        <v>0</v>
      </c>
      <c r="K75" s="165"/>
      <c r="L75" s="172"/>
      <c r="M75" s="165"/>
      <c r="N75" s="164">
        <f t="shared" si="6"/>
        <v>0</v>
      </c>
    </row>
    <row r="76" spans="1:14" ht="12.75">
      <c r="A76" s="170"/>
      <c r="B76" s="170"/>
      <c r="C76" s="168"/>
      <c r="D76" s="168"/>
      <c r="E76" s="168"/>
      <c r="F76" s="168"/>
      <c r="G76" s="160">
        <f aca="true" t="shared" si="8" ref="G76:G91">SUM(C76:F76)</f>
        <v>0</v>
      </c>
      <c r="H76" s="170"/>
      <c r="I76" s="172"/>
      <c r="J76" s="165">
        <f t="shared" si="7"/>
        <v>0</v>
      </c>
      <c r="K76" s="165"/>
      <c r="L76" s="172"/>
      <c r="M76" s="165"/>
      <c r="N76" s="164">
        <f t="shared" si="6"/>
        <v>0</v>
      </c>
    </row>
    <row r="77" spans="1:14" ht="12.75">
      <c r="A77" s="170"/>
      <c r="B77" s="170"/>
      <c r="C77" s="168"/>
      <c r="D77" s="168"/>
      <c r="E77" s="168"/>
      <c r="F77" s="168"/>
      <c r="G77" s="160">
        <f t="shared" si="8"/>
        <v>0</v>
      </c>
      <c r="H77" s="170"/>
      <c r="I77" s="172"/>
      <c r="J77" s="165">
        <f t="shared" si="7"/>
        <v>0</v>
      </c>
      <c r="K77" s="165"/>
      <c r="L77" s="172"/>
      <c r="M77" s="165"/>
      <c r="N77" s="164">
        <f t="shared" si="6"/>
        <v>0</v>
      </c>
    </row>
    <row r="78" spans="1:14" ht="12.75">
      <c r="A78" s="170"/>
      <c r="B78" s="170"/>
      <c r="C78" s="168"/>
      <c r="D78" s="168"/>
      <c r="E78" s="168"/>
      <c r="F78" s="168"/>
      <c r="G78" s="160">
        <f t="shared" si="8"/>
        <v>0</v>
      </c>
      <c r="H78" s="170"/>
      <c r="I78" s="172"/>
      <c r="J78" s="165">
        <f t="shared" si="7"/>
        <v>0</v>
      </c>
      <c r="K78" s="165"/>
      <c r="L78" s="172"/>
      <c r="M78" s="165"/>
      <c r="N78" s="164">
        <f t="shared" si="6"/>
        <v>0</v>
      </c>
    </row>
    <row r="79" spans="1:14" ht="12.75">
      <c r="A79" s="170"/>
      <c r="B79" s="170"/>
      <c r="C79" s="168"/>
      <c r="D79" s="168"/>
      <c r="E79" s="168"/>
      <c r="F79" s="168"/>
      <c r="G79" s="160">
        <f t="shared" si="8"/>
        <v>0</v>
      </c>
      <c r="H79" s="170"/>
      <c r="I79" s="172"/>
      <c r="J79" s="165">
        <f t="shared" si="7"/>
        <v>0</v>
      </c>
      <c r="K79" s="165"/>
      <c r="L79" s="172"/>
      <c r="M79" s="165"/>
      <c r="N79" s="164">
        <f t="shared" si="6"/>
        <v>0</v>
      </c>
    </row>
    <row r="80" spans="1:14" ht="12.75">
      <c r="A80" s="170"/>
      <c r="B80" s="170"/>
      <c r="C80" s="168"/>
      <c r="D80" s="168"/>
      <c r="E80" s="168"/>
      <c r="F80" s="168"/>
      <c r="G80" s="160">
        <f t="shared" si="8"/>
        <v>0</v>
      </c>
      <c r="H80" s="170"/>
      <c r="I80" s="172"/>
      <c r="J80" s="165">
        <f t="shared" si="7"/>
        <v>0</v>
      </c>
      <c r="K80" s="165"/>
      <c r="L80" s="172"/>
      <c r="M80" s="165"/>
      <c r="N80" s="164">
        <f t="shared" si="6"/>
        <v>0</v>
      </c>
    </row>
    <row r="81" spans="1:14" ht="12.75">
      <c r="A81" s="170"/>
      <c r="B81" s="170"/>
      <c r="C81" s="168"/>
      <c r="D81" s="168"/>
      <c r="E81" s="168"/>
      <c r="F81" s="168"/>
      <c r="G81" s="160">
        <f t="shared" si="8"/>
        <v>0</v>
      </c>
      <c r="H81" s="170"/>
      <c r="I81" s="172"/>
      <c r="J81" s="165">
        <f t="shared" si="7"/>
        <v>0</v>
      </c>
      <c r="K81" s="165"/>
      <c r="L81" s="172"/>
      <c r="M81" s="165"/>
      <c r="N81" s="164">
        <f t="shared" si="6"/>
        <v>0</v>
      </c>
    </row>
    <row r="82" spans="1:14" ht="12.75">
      <c r="A82" s="170"/>
      <c r="B82" s="170"/>
      <c r="C82" s="168"/>
      <c r="D82" s="168"/>
      <c r="E82" s="168"/>
      <c r="F82" s="168"/>
      <c r="G82" s="160">
        <f t="shared" si="8"/>
        <v>0</v>
      </c>
      <c r="H82" s="170"/>
      <c r="I82" s="172"/>
      <c r="J82" s="165">
        <f t="shared" si="7"/>
        <v>0</v>
      </c>
      <c r="K82" s="165"/>
      <c r="L82" s="172"/>
      <c r="M82" s="165"/>
      <c r="N82" s="164">
        <f t="shared" si="6"/>
        <v>0</v>
      </c>
    </row>
    <row r="83" spans="1:14" ht="12.75">
      <c r="A83" s="170"/>
      <c r="B83" s="170"/>
      <c r="C83" s="168"/>
      <c r="D83" s="168"/>
      <c r="E83" s="168"/>
      <c r="F83" s="168"/>
      <c r="G83" s="160">
        <f t="shared" si="8"/>
        <v>0</v>
      </c>
      <c r="H83" s="170"/>
      <c r="I83" s="172"/>
      <c r="J83" s="165">
        <f t="shared" si="7"/>
        <v>0</v>
      </c>
      <c r="K83" s="165"/>
      <c r="L83" s="172"/>
      <c r="M83" s="165"/>
      <c r="N83" s="164">
        <f t="shared" si="6"/>
        <v>0</v>
      </c>
    </row>
    <row r="84" spans="1:14" ht="12.75">
      <c r="A84" s="170"/>
      <c r="B84" s="170"/>
      <c r="C84" s="168"/>
      <c r="D84" s="168"/>
      <c r="E84" s="168"/>
      <c r="F84" s="168"/>
      <c r="G84" s="160">
        <f t="shared" si="8"/>
        <v>0</v>
      </c>
      <c r="H84" s="170"/>
      <c r="I84" s="172"/>
      <c r="J84" s="165">
        <f t="shared" si="7"/>
        <v>0</v>
      </c>
      <c r="K84" s="165"/>
      <c r="L84" s="172"/>
      <c r="M84" s="165"/>
      <c r="N84" s="164">
        <f t="shared" si="6"/>
        <v>0</v>
      </c>
    </row>
    <row r="85" spans="1:14" ht="12.75">
      <c r="A85" s="170"/>
      <c r="B85" s="170"/>
      <c r="C85" s="168"/>
      <c r="D85" s="168"/>
      <c r="E85" s="168"/>
      <c r="F85" s="168"/>
      <c r="G85" s="160">
        <f t="shared" si="8"/>
        <v>0</v>
      </c>
      <c r="H85" s="170"/>
      <c r="I85" s="172"/>
      <c r="J85" s="165">
        <f aca="true" t="shared" si="9" ref="J85:J91">+I85*G85</f>
        <v>0</v>
      </c>
      <c r="K85" s="165"/>
      <c r="L85" s="172"/>
      <c r="M85" s="165"/>
      <c r="N85" s="164">
        <f t="shared" si="6"/>
        <v>0</v>
      </c>
    </row>
    <row r="86" spans="1:14" ht="12.75">
      <c r="A86" s="170"/>
      <c r="B86" s="170"/>
      <c r="C86" s="168"/>
      <c r="D86" s="168"/>
      <c r="E86" s="168"/>
      <c r="F86" s="168"/>
      <c r="G86" s="160">
        <f t="shared" si="8"/>
        <v>0</v>
      </c>
      <c r="H86" s="170"/>
      <c r="I86" s="172"/>
      <c r="J86" s="165">
        <f t="shared" si="9"/>
        <v>0</v>
      </c>
      <c r="K86" s="165"/>
      <c r="L86" s="172"/>
      <c r="M86" s="165"/>
      <c r="N86" s="164">
        <f t="shared" si="6"/>
        <v>0</v>
      </c>
    </row>
    <row r="87" spans="1:14" ht="12.75">
      <c r="A87" s="170"/>
      <c r="B87" s="170"/>
      <c r="C87" s="168"/>
      <c r="D87" s="168"/>
      <c r="E87" s="168"/>
      <c r="F87" s="168"/>
      <c r="G87" s="160">
        <f t="shared" si="8"/>
        <v>0</v>
      </c>
      <c r="H87" s="170"/>
      <c r="I87" s="172"/>
      <c r="J87" s="165">
        <f t="shared" si="9"/>
        <v>0</v>
      </c>
      <c r="K87" s="165"/>
      <c r="L87" s="172"/>
      <c r="M87" s="165"/>
      <c r="N87" s="164">
        <f t="shared" si="6"/>
        <v>0</v>
      </c>
    </row>
    <row r="88" spans="1:14" ht="12.75">
      <c r="A88" s="170"/>
      <c r="B88" s="170"/>
      <c r="C88" s="168"/>
      <c r="D88" s="168"/>
      <c r="E88" s="168"/>
      <c r="F88" s="168"/>
      <c r="G88" s="160">
        <f t="shared" si="8"/>
        <v>0</v>
      </c>
      <c r="H88" s="170"/>
      <c r="I88" s="172"/>
      <c r="J88" s="165">
        <f t="shared" si="9"/>
        <v>0</v>
      </c>
      <c r="K88" s="165"/>
      <c r="L88" s="172"/>
      <c r="M88" s="165"/>
      <c r="N88" s="164">
        <f t="shared" si="6"/>
        <v>0</v>
      </c>
    </row>
    <row r="89" spans="1:14" ht="12.75">
      <c r="A89" s="170"/>
      <c r="B89" s="170"/>
      <c r="C89" s="168"/>
      <c r="D89" s="168"/>
      <c r="E89" s="168"/>
      <c r="F89" s="168"/>
      <c r="G89" s="160">
        <f t="shared" si="8"/>
        <v>0</v>
      </c>
      <c r="H89" s="170"/>
      <c r="I89" s="172"/>
      <c r="J89" s="165">
        <f t="shared" si="9"/>
        <v>0</v>
      </c>
      <c r="K89" s="165"/>
      <c r="L89" s="172"/>
      <c r="M89" s="165"/>
      <c r="N89" s="164">
        <f t="shared" si="6"/>
        <v>0</v>
      </c>
    </row>
    <row r="90" spans="1:14" ht="12.75">
      <c r="A90" s="170"/>
      <c r="B90" s="170"/>
      <c r="C90" s="168"/>
      <c r="D90" s="168"/>
      <c r="E90" s="168"/>
      <c r="F90" s="168"/>
      <c r="G90" s="160">
        <f t="shared" si="8"/>
        <v>0</v>
      </c>
      <c r="H90" s="170"/>
      <c r="I90" s="172"/>
      <c r="J90" s="165">
        <f t="shared" si="9"/>
        <v>0</v>
      </c>
      <c r="K90" s="165"/>
      <c r="L90" s="172"/>
      <c r="M90" s="165"/>
      <c r="N90" s="164">
        <f t="shared" si="6"/>
        <v>0</v>
      </c>
    </row>
    <row r="91" spans="1:14" ht="12.75">
      <c r="A91" s="170"/>
      <c r="B91" s="170"/>
      <c r="C91" s="168"/>
      <c r="D91" s="168"/>
      <c r="E91" s="168"/>
      <c r="F91" s="168"/>
      <c r="G91" s="160">
        <f t="shared" si="8"/>
        <v>0</v>
      </c>
      <c r="H91" s="170"/>
      <c r="I91" s="172"/>
      <c r="J91" s="165">
        <f t="shared" si="9"/>
        <v>0</v>
      </c>
      <c r="K91" s="165"/>
      <c r="L91" s="172"/>
      <c r="M91" s="165"/>
      <c r="N91" s="164">
        <f t="shared" si="6"/>
        <v>0</v>
      </c>
    </row>
    <row r="92" spans="1:14" ht="13.5" thickBot="1">
      <c r="A92" s="161" t="s">
        <v>289</v>
      </c>
      <c r="C92" s="162">
        <f>SUM(C2:C91)</f>
        <v>0</v>
      </c>
      <c r="D92" s="162">
        <f>SUM(D2:D91)</f>
        <v>0</v>
      </c>
      <c r="E92" s="162">
        <f>SUM(E2:E91)</f>
        <v>0</v>
      </c>
      <c r="F92" s="162">
        <f>SUM(F2:F91)</f>
        <v>0</v>
      </c>
      <c r="G92" s="162">
        <f>SUM(G2:G91)</f>
        <v>0</v>
      </c>
      <c r="H92" s="162"/>
      <c r="I92" s="166"/>
      <c r="J92" s="166">
        <f>SUM(J2:J91)</f>
        <v>0</v>
      </c>
      <c r="K92" s="166">
        <f>SUM(K2:K91)</f>
        <v>0</v>
      </c>
      <c r="L92" s="166">
        <f>SUM(L2:L91)</f>
        <v>0</v>
      </c>
      <c r="M92" s="166">
        <f>SUM(M2:M91)</f>
        <v>1000</v>
      </c>
      <c r="N92" s="166">
        <f>SUM(N2:N91)</f>
        <v>1000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Panichello</dc:creator>
  <cp:keywords/>
  <dc:description/>
  <cp:lastModifiedBy>Greg Panichello</cp:lastModifiedBy>
  <cp:lastPrinted>2009-06-17T22:07:53Z</cp:lastPrinted>
  <dcterms:created xsi:type="dcterms:W3CDTF">2009-05-11T17:17:03Z</dcterms:created>
  <dcterms:modified xsi:type="dcterms:W3CDTF">2009-08-18T16:07:30Z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-1193005156</vt:i4>
  </property>
  <property fmtid="{D5CDD505-2E9C-101B-9397-08002B2CF9AE}" pid="3" name="_NewReviewCycle">
    <vt:lpwstr/>
  </property>
  <property fmtid="{D5CDD505-2E9C-101B-9397-08002B2CF9AE}" pid="4" name="_EmailSubject">
    <vt:lpwstr>New budget Model</vt:lpwstr>
  </property>
  <property fmtid="{D5CDD505-2E9C-101B-9397-08002B2CF9AE}" pid="5" name="_AuthorEmail">
    <vt:lpwstr>Greg.Panichello@slcc.edu</vt:lpwstr>
  </property>
  <property fmtid="{D5CDD505-2E9C-101B-9397-08002B2CF9AE}" pid="6" name="_AuthorEmailDisplayName">
    <vt:lpwstr>Greg Panichello</vt:lpwstr>
  </property>
  <property fmtid="{D5CDD505-2E9C-101B-9397-08002B2CF9AE}" pid="7" name="_ReviewingToolsShownOnce">
    <vt:lpwstr/>
  </property>
</Properties>
</file>